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useppe\Desktop\didattica\EserciziStat\"/>
    </mc:Choice>
  </mc:AlternateContent>
  <bookViews>
    <workbookView xWindow="0" yWindow="0" windowWidth="19200" windowHeight="7050" activeTab="5"/>
  </bookViews>
  <sheets>
    <sheet name="Test Diagnostico" sheetId="1" r:id="rId1"/>
    <sheet name="Media Distrib.Freq." sheetId="3" r:id="rId2"/>
    <sheet name="chi-quadrato" sheetId="4" r:id="rId3"/>
    <sheet name="Media IgE per Ca" sheetId="2" r:id="rId4"/>
    <sheet name="regressione" sheetId="5" r:id="rId5"/>
    <sheet name="ANOVA" sheetId="6" r:id="rId6"/>
  </sheets>
  <externalReferences>
    <externalReference r:id="rId7"/>
  </externalReference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6" l="1"/>
  <c r="K5" i="6"/>
  <c r="J5" i="6"/>
  <c r="I5" i="6"/>
  <c r="D5" i="6"/>
  <c r="C5" i="6"/>
  <c r="B5" i="6"/>
  <c r="I6" i="6" s="1"/>
  <c r="E4" i="6"/>
  <c r="L2" i="6" s="1"/>
  <c r="K1" i="6"/>
  <c r="J1" i="6"/>
  <c r="I1" i="6"/>
  <c r="F8" i="2"/>
  <c r="E8" i="2"/>
  <c r="J5" i="2"/>
  <c r="I5" i="2"/>
  <c r="J4" i="2"/>
  <c r="I4" i="2"/>
  <c r="F4" i="2"/>
  <c r="E4" i="2"/>
  <c r="J3" i="2"/>
  <c r="I3" i="2"/>
  <c r="F3" i="2"/>
  <c r="E3" i="2"/>
  <c r="F2" i="2"/>
  <c r="J2" i="2" s="1"/>
  <c r="E2" i="2"/>
  <c r="I2" i="2" s="1"/>
  <c r="J6" i="6" l="1"/>
  <c r="K6" i="6"/>
  <c r="K8" i="6"/>
  <c r="J8" i="6"/>
  <c r="I8" i="6"/>
  <c r="L6" i="6"/>
  <c r="E5" i="6"/>
  <c r="I15" i="6"/>
  <c r="I14" i="6" s="1"/>
  <c r="L11" i="4"/>
  <c r="L8" i="6" l="1"/>
  <c r="L9" i="6" s="1"/>
  <c r="J14" i="6"/>
  <c r="K14" i="6" s="1"/>
  <c r="L5" i="6"/>
  <c r="E7" i="4"/>
  <c r="E6" i="4"/>
  <c r="H12" i="4"/>
  <c r="B22" i="3"/>
  <c r="B10" i="3"/>
  <c r="B23" i="3"/>
  <c r="B11" i="3"/>
  <c r="M4" i="3"/>
  <c r="M5" i="3"/>
  <c r="M6" i="3"/>
  <c r="M7" i="3"/>
  <c r="M3" i="3"/>
  <c r="L4" i="3"/>
  <c r="L5" i="3"/>
  <c r="L6" i="3"/>
  <c r="L7" i="3"/>
  <c r="L3" i="3"/>
  <c r="J4" i="3"/>
  <c r="J5" i="3"/>
  <c r="J6" i="3"/>
  <c r="J7" i="3"/>
  <c r="J3" i="3"/>
  <c r="I4" i="3"/>
  <c r="I5" i="3"/>
  <c r="I6" i="3"/>
  <c r="I7" i="3"/>
  <c r="I3" i="3"/>
  <c r="C8" i="1"/>
  <c r="B11" i="1"/>
  <c r="B10" i="1"/>
  <c r="B9" i="1"/>
  <c r="B8" i="1"/>
  <c r="B5" i="1"/>
  <c r="C5" i="1"/>
  <c r="B4" i="1"/>
  <c r="D5" i="1"/>
  <c r="C6" i="1"/>
  <c r="J13" i="6" l="1"/>
  <c r="K13" i="6" s="1"/>
  <c r="L13" i="6" s="1"/>
  <c r="M13" i="6" s="1"/>
  <c r="I11" i="5"/>
  <c r="J6" i="5"/>
  <c r="J4" i="5"/>
  <c r="E4" i="5"/>
  <c r="E5" i="5" s="1"/>
  <c r="D6" i="5" s="1"/>
  <c r="H1" i="5"/>
  <c r="D8" i="4"/>
  <c r="E8" i="4"/>
  <c r="A12" i="4"/>
  <c r="A11" i="4"/>
  <c r="A10" i="4"/>
  <c r="H7" i="4"/>
  <c r="H6" i="4"/>
  <c r="K5" i="4"/>
  <c r="J5" i="4"/>
  <c r="E5" i="3"/>
  <c r="B20" i="3"/>
  <c r="D19" i="3"/>
  <c r="D18" i="3"/>
  <c r="D17" i="3"/>
  <c r="D16" i="3"/>
  <c r="D15" i="3"/>
  <c r="C15" i="3"/>
  <c r="C16" i="3" s="1"/>
  <c r="C17" i="3" s="1"/>
  <c r="C18" i="3" s="1"/>
  <c r="C19" i="3" s="1"/>
  <c r="B8" i="3"/>
  <c r="E3" i="3" s="1"/>
  <c r="E4" i="3" s="1"/>
  <c r="D7" i="3"/>
  <c r="D6" i="3"/>
  <c r="D5" i="3"/>
  <c r="D4" i="3"/>
  <c r="D3" i="3"/>
  <c r="C3" i="3"/>
  <c r="C4" i="3" s="1"/>
  <c r="C5" i="3" s="1"/>
  <c r="C6" i="3" s="1"/>
  <c r="C7" i="3" s="1"/>
  <c r="J15" i="6" l="1"/>
  <c r="M20" i="5"/>
  <c r="I10" i="5"/>
  <c r="I12" i="5" s="1"/>
  <c r="M18" i="5"/>
  <c r="M4" i="5"/>
  <c r="M19" i="5"/>
  <c r="D11" i="4"/>
  <c r="F8" i="4"/>
  <c r="K6" i="4" s="1"/>
  <c r="D12" i="4"/>
  <c r="E6" i="3"/>
  <c r="E7" i="3" s="1"/>
  <c r="E8" i="3" s="1"/>
  <c r="D20" i="3"/>
  <c r="E15" i="3"/>
  <c r="E16" i="3" s="1"/>
  <c r="E17" i="3" s="1"/>
  <c r="E18" i="3" s="1"/>
  <c r="E19" i="3" s="1"/>
  <c r="E20" i="3" s="1"/>
  <c r="D8" i="3"/>
  <c r="K7" i="4" l="1"/>
  <c r="J7" i="4"/>
  <c r="D10" i="4"/>
  <c r="J6" i="4"/>
  <c r="H14" i="4" l="1"/>
  <c r="H13" i="4" s="1"/>
</calcChain>
</file>

<file path=xl/sharedStrings.xml><?xml version="1.0" encoding="utf-8"?>
<sst xmlns="http://schemas.openxmlformats.org/spreadsheetml/2006/main" count="118" uniqueCount="91">
  <si>
    <t>T+</t>
  </si>
  <si>
    <t>T-</t>
  </si>
  <si>
    <t>M+</t>
  </si>
  <si>
    <t>M-</t>
  </si>
  <si>
    <t>Test diagnostico sulle metastasi epatiche</t>
  </si>
  <si>
    <t>freq.assoluta</t>
  </si>
  <si>
    <t>freq.cumulata</t>
  </si>
  <si>
    <t>Considerare la PRIMA mediana</t>
  </si>
  <si>
    <t>x, in gg</t>
  </si>
  <si>
    <t>n</t>
  </si>
  <si>
    <t>N</t>
  </si>
  <si>
    <t>n*x</t>
  </si>
  <si>
    <t>totale</t>
  </si>
  <si>
    <t>rango mediana=</t>
  </si>
  <si>
    <t>media=</t>
  </si>
  <si>
    <t>NON FUMATRICI</t>
  </si>
  <si>
    <t>FUMATRICI</t>
  </si>
  <si>
    <t>Moda</t>
  </si>
  <si>
    <t>Test del chi-quadrato</t>
  </si>
  <si>
    <t>Valori osservati</t>
  </si>
  <si>
    <t>Valori attesi</t>
  </si>
  <si>
    <t>righe =</t>
  </si>
  <si>
    <t>colonne  =</t>
  </si>
  <si>
    <t>gradi di libertà=</t>
  </si>
  <si>
    <t>chi-quadrato=</t>
  </si>
  <si>
    <t>P=</t>
  </si>
  <si>
    <t>Sottopeso</t>
  </si>
  <si>
    <t>Normopeso</t>
  </si>
  <si>
    <t>covarianza=</t>
  </si>
  <si>
    <t>correlazione</t>
  </si>
  <si>
    <t>regressione: y=a+b*x</t>
  </si>
  <si>
    <t>r=</t>
  </si>
  <si>
    <t>b=</t>
  </si>
  <si>
    <t>Il peso cresce in media di Kg</t>
  </si>
  <si>
    <t>r^2=</t>
  </si>
  <si>
    <t>quando la statura cresce di 1 cm</t>
  </si>
  <si>
    <t>% della variabilità del peso</t>
  </si>
  <si>
    <t>a=</t>
  </si>
  <si>
    <t>è spiegata dalla variabilità della statura</t>
  </si>
  <si>
    <t>t=</t>
  </si>
  <si>
    <t>r/radq((1-r^2)/(n-2))</t>
  </si>
  <si>
    <t>gradi libertà=</t>
  </si>
  <si>
    <t>P =</t>
  </si>
  <si>
    <t>Previsione</t>
  </si>
  <si>
    <t>x</t>
  </si>
  <si>
    <t>y atteso</t>
  </si>
  <si>
    <t>PGE</t>
  </si>
  <si>
    <t>Calcio</t>
  </si>
  <si>
    <t>(pg/ml)</t>
  </si>
  <si>
    <t>(mg/dl)</t>
  </si>
  <si>
    <t>Sens=</t>
  </si>
  <si>
    <t>Spec=</t>
  </si>
  <si>
    <t>V+=</t>
  </si>
  <si>
    <t>V-=</t>
  </si>
  <si>
    <t>500-1.499</t>
  </si>
  <si>
    <t>1500-2499</t>
  </si>
  <si>
    <t>2500-3499</t>
  </si>
  <si>
    <t>3500-4499</t>
  </si>
  <si>
    <t>4500-5499</t>
  </si>
  <si>
    <t>non-fumatrici</t>
  </si>
  <si>
    <t>fumatrici</t>
  </si>
  <si>
    <t>Frequenze relative</t>
  </si>
  <si>
    <t>Frequenza cumulativa relativa</t>
  </si>
  <si>
    <t>Madre fuma</t>
  </si>
  <si>
    <t>Madre non-fumatrice</t>
  </si>
  <si>
    <t>significance level =</t>
  </si>
  <si>
    <t>critical threshold</t>
  </si>
  <si>
    <t>Ipercalcemia</t>
  </si>
  <si>
    <t>Ca normale</t>
  </si>
  <si>
    <t>media</t>
  </si>
  <si>
    <t>gradi lib.</t>
  </si>
  <si>
    <t>dev.st</t>
  </si>
  <si>
    <t>mediana</t>
  </si>
  <si>
    <t>ANOVA</t>
  </si>
  <si>
    <t>n group =</t>
  </si>
  <si>
    <t>TOTAL</t>
  </si>
  <si>
    <t>group 1</t>
  </si>
  <si>
    <t>group 2</t>
  </si>
  <si>
    <t>group 3</t>
  </si>
  <si>
    <t>WITHIN</t>
  </si>
  <si>
    <t>var</t>
  </si>
  <si>
    <t>dev</t>
  </si>
  <si>
    <t>BETWEEN</t>
  </si>
  <si>
    <t>TABELLA ANOVA</t>
  </si>
  <si>
    <t>gradi di libertà</t>
  </si>
  <si>
    <t>devianza</t>
  </si>
  <si>
    <t>varianza</t>
  </si>
  <si>
    <t>F</t>
  </si>
  <si>
    <t>P</t>
  </si>
  <si>
    <t>tra gruppi</t>
  </si>
  <si>
    <t>entro gruppi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</si>
</sst>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00"/>
    <numFmt numFmtId="165" formatCode="0.000000"/>
    <numFmt numFmtId="166" formatCode="0.0"/>
    <numFmt numFmtId="167" formatCode="0.0000"/>
    <numFmt numFmtId="168" formatCode="0.0%"/>
  </numFmts>
  <fonts count="2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1"/>
      <name val="Arial"/>
      <family val="2"/>
    </font>
    <font>
      <sz val="1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4"/>
      <name val="Arial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9" fontId="15" fillId="0" borderId="0" applyFont="0" applyFill="0" applyBorder="0" applyAlignment="0" applyProtection="0"/>
  </cellStyleXfs>
  <cellXfs count="1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3" borderId="0" xfId="0" applyFont="1" applyFill="1" applyAlignment="1">
      <alignment horizontal="right"/>
    </xf>
    <xf numFmtId="0" fontId="2" fillId="4" borderId="0" xfId="0" applyFont="1" applyFill="1" applyAlignment="1">
      <alignment horizontal="center" vertical="center"/>
    </xf>
    <xf numFmtId="0" fontId="3" fillId="4" borderId="0" xfId="0" applyFont="1" applyFill="1"/>
    <xf numFmtId="0" fontId="1" fillId="4" borderId="0" xfId="0" applyFont="1" applyFill="1" applyAlignment="1">
      <alignment horizontal="center" vertical="center"/>
    </xf>
    <xf numFmtId="0" fontId="5" fillId="0" borderId="0" xfId="1" applyFont="1"/>
    <xf numFmtId="0" fontId="6" fillId="0" borderId="0" xfId="1" applyFont="1"/>
    <xf numFmtId="0" fontId="4" fillId="0" borderId="0" xfId="1"/>
    <xf numFmtId="0" fontId="4" fillId="0" borderId="0" xfId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7" fillId="0" borderId="0" xfId="1" applyFont="1"/>
    <xf numFmtId="0" fontId="6" fillId="0" borderId="4" xfId="1" applyFont="1" applyBorder="1"/>
    <xf numFmtId="0" fontId="6" fillId="5" borderId="5" xfId="1" applyFont="1" applyFill="1" applyBorder="1" applyAlignment="1">
      <alignment horizontal="center"/>
    </xf>
    <xf numFmtId="0" fontId="6" fillId="5" borderId="6" xfId="1" applyFont="1" applyFill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8" fillId="0" borderId="0" xfId="1" applyFont="1"/>
    <xf numFmtId="0" fontId="9" fillId="0" borderId="7" xfId="1" applyFont="1" applyBorder="1"/>
    <xf numFmtId="0" fontId="6" fillId="0" borderId="8" xfId="1" applyFont="1" applyBorder="1"/>
    <xf numFmtId="0" fontId="6" fillId="0" borderId="9" xfId="1" applyFont="1" applyBorder="1"/>
    <xf numFmtId="0" fontId="7" fillId="0" borderId="4" xfId="1" applyFont="1" applyBorder="1"/>
    <xf numFmtId="0" fontId="9" fillId="0" borderId="1" xfId="1" applyFont="1" applyBorder="1"/>
    <xf numFmtId="0" fontId="6" fillId="0" borderId="10" xfId="1" applyFont="1" applyBorder="1"/>
    <xf numFmtId="0" fontId="6" fillId="0" borderId="11" xfId="1" applyFont="1" applyBorder="1"/>
    <xf numFmtId="0" fontId="6" fillId="0" borderId="0" xfId="1" applyFont="1" applyAlignment="1">
      <alignment horizontal="center"/>
    </xf>
    <xf numFmtId="0" fontId="9" fillId="0" borderId="0" xfId="1" applyFont="1"/>
    <xf numFmtId="10" fontId="6" fillId="6" borderId="0" xfId="1" applyNumberFormat="1" applyFont="1" applyFill="1"/>
    <xf numFmtId="0" fontId="6" fillId="5" borderId="0" xfId="1" applyFont="1" applyFill="1" applyAlignment="1">
      <alignment horizontal="center"/>
    </xf>
    <xf numFmtId="0" fontId="6" fillId="6" borderId="0" xfId="1" applyFont="1" applyFill="1" applyAlignment="1">
      <alignment horizontal="center"/>
    </xf>
    <xf numFmtId="164" fontId="6" fillId="6" borderId="0" xfId="1" applyNumberFormat="1" applyFont="1" applyFill="1" applyAlignment="1">
      <alignment horizontal="center"/>
    </xf>
    <xf numFmtId="165" fontId="7" fillId="6" borderId="0" xfId="1" applyNumberFormat="1" applyFont="1" applyFill="1" applyAlignment="1">
      <alignment horizontal="center"/>
    </xf>
    <xf numFmtId="0" fontId="9" fillId="0" borderId="2" xfId="1" applyFont="1" applyBorder="1" applyAlignment="1">
      <alignment horizontal="center"/>
    </xf>
    <xf numFmtId="0" fontId="9" fillId="0" borderId="3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10" fillId="0" borderId="0" xfId="1" applyFont="1"/>
    <xf numFmtId="0" fontId="11" fillId="0" borderId="0" xfId="1" applyFont="1"/>
    <xf numFmtId="0" fontId="8" fillId="0" borderId="0" xfId="1" applyFont="1" applyFill="1" applyBorder="1" applyAlignment="1">
      <alignment horizontal="center"/>
    </xf>
    <xf numFmtId="164" fontId="11" fillId="6" borderId="0" xfId="1" applyNumberFormat="1" applyFont="1" applyFill="1"/>
    <xf numFmtId="0" fontId="4" fillId="0" borderId="8" xfId="1" applyFont="1" applyBorder="1"/>
    <xf numFmtId="0" fontId="4" fillId="0" borderId="7" xfId="1" applyBorder="1"/>
    <xf numFmtId="164" fontId="13" fillId="0" borderId="9" xfId="1" applyNumberFormat="1" applyFont="1" applyBorder="1" applyAlignment="1">
      <alignment horizontal="left"/>
    </xf>
    <xf numFmtId="0" fontId="4" fillId="0" borderId="0" xfId="1" applyFill="1"/>
    <xf numFmtId="0" fontId="4" fillId="0" borderId="10" xfId="1" applyFont="1" applyBorder="1"/>
    <xf numFmtId="0" fontId="4" fillId="0" borderId="1" xfId="1" applyBorder="1"/>
    <xf numFmtId="0" fontId="4" fillId="0" borderId="11" xfId="1" applyBorder="1"/>
    <xf numFmtId="0" fontId="13" fillId="0" borderId="0" xfId="1" applyFont="1"/>
    <xf numFmtId="166" fontId="14" fillId="0" borderId="8" xfId="1" applyNumberFormat="1" applyFont="1" applyBorder="1" applyAlignment="1">
      <alignment horizontal="right"/>
    </xf>
    <xf numFmtId="0" fontId="13" fillId="0" borderId="7" xfId="1" applyFont="1" applyBorder="1" applyAlignment="1">
      <alignment horizontal="left"/>
    </xf>
    <xf numFmtId="0" fontId="4" fillId="0" borderId="9" xfId="1" applyBorder="1"/>
    <xf numFmtId="164" fontId="8" fillId="6" borderId="0" xfId="1" applyNumberFormat="1" applyFont="1" applyFill="1"/>
    <xf numFmtId="0" fontId="13" fillId="0" borderId="10" xfId="1" applyFont="1" applyBorder="1"/>
    <xf numFmtId="0" fontId="8" fillId="0" borderId="8" xfId="1" applyFont="1" applyBorder="1"/>
    <xf numFmtId="167" fontId="8" fillId="6" borderId="9" xfId="1" applyNumberFormat="1" applyFont="1" applyFill="1" applyBorder="1"/>
    <xf numFmtId="0" fontId="8" fillId="0" borderId="2" xfId="1" applyFont="1" applyBorder="1"/>
    <xf numFmtId="0" fontId="4" fillId="0" borderId="0" xfId="1" applyBorder="1"/>
    <xf numFmtId="0" fontId="8" fillId="6" borderId="3" xfId="1" applyFont="1" applyFill="1" applyBorder="1"/>
    <xf numFmtId="0" fontId="8" fillId="0" borderId="10" xfId="1" applyFont="1" applyBorder="1"/>
    <xf numFmtId="167" fontId="8" fillId="6" borderId="11" xfId="1" applyNumberFormat="1" applyFont="1" applyFill="1" applyBorder="1"/>
    <xf numFmtId="0" fontId="4" fillId="7" borderId="0" xfId="1" applyFont="1" applyFill="1"/>
    <xf numFmtId="0" fontId="12" fillId="0" borderId="0" xfId="1" applyFont="1"/>
    <xf numFmtId="0" fontId="7" fillId="0" borderId="12" xfId="1" applyFont="1" applyBorder="1" applyAlignment="1">
      <alignment horizontal="center"/>
    </xf>
    <xf numFmtId="0" fontId="14" fillId="0" borderId="12" xfId="1" applyFont="1" applyBorder="1" applyAlignment="1">
      <alignment horizontal="center"/>
    </xf>
    <xf numFmtId="164" fontId="14" fillId="0" borderId="12" xfId="1" applyNumberFormat="1" applyFont="1" applyBorder="1" applyAlignment="1">
      <alignment horizontal="center"/>
    </xf>
    <xf numFmtId="0" fontId="4" fillId="0" borderId="0" xfId="1" applyFont="1" applyFill="1"/>
    <xf numFmtId="0" fontId="6" fillId="7" borderId="7" xfId="1" applyFont="1" applyFill="1" applyBorder="1" applyAlignment="1">
      <alignment horizontal="center"/>
    </xf>
    <xf numFmtId="0" fontId="6" fillId="7" borderId="0" xfId="1" applyFont="1" applyFill="1" applyBorder="1" applyAlignment="1">
      <alignment horizontal="center"/>
    </xf>
    <xf numFmtId="0" fontId="6" fillId="7" borderId="0" xfId="1" applyFont="1" applyFill="1" applyAlignment="1">
      <alignment horizontal="center"/>
    </xf>
    <xf numFmtId="0" fontId="1" fillId="8" borderId="0" xfId="0" applyFont="1" applyFill="1" applyAlignment="1">
      <alignment horizontal="center" vertical="center"/>
    </xf>
    <xf numFmtId="168" fontId="1" fillId="0" borderId="0" xfId="2" applyNumberFormat="1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168" fontId="1" fillId="0" borderId="0" xfId="2" applyNumberFormat="1" applyFont="1" applyAlignment="1">
      <alignment horizontal="center" vertical="center"/>
    </xf>
    <xf numFmtId="9" fontId="1" fillId="0" borderId="0" xfId="2" applyNumberFormat="1" applyFont="1"/>
    <xf numFmtId="0" fontId="8" fillId="0" borderId="0" xfId="0" applyFont="1"/>
    <xf numFmtId="0" fontId="6" fillId="0" borderId="0" xfId="0" applyFont="1"/>
    <xf numFmtId="0" fontId="16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2" fillId="6" borderId="0" xfId="0" applyFont="1" applyFill="1" applyAlignment="1">
      <alignment horizontal="center"/>
    </xf>
    <xf numFmtId="0" fontId="8" fillId="0" borderId="0" xfId="0" applyFont="1" applyBorder="1" applyAlignment="1">
      <alignment horizontal="center"/>
    </xf>
    <xf numFmtId="0" fontId="5" fillId="0" borderId="0" xfId="0" applyFont="1"/>
    <xf numFmtId="164" fontId="12" fillId="6" borderId="0" xfId="0" applyNumberFormat="1" applyFont="1" applyFill="1" applyAlignment="1">
      <alignment horizontal="center"/>
    </xf>
    <xf numFmtId="0" fontId="12" fillId="0" borderId="0" xfId="0" applyFont="1"/>
    <xf numFmtId="0" fontId="16" fillId="6" borderId="0" xfId="0" applyFont="1" applyFill="1" applyAlignment="1">
      <alignment horizontal="center"/>
    </xf>
    <xf numFmtId="0" fontId="8" fillId="5" borderId="0" xfId="0" applyFont="1" applyFill="1" applyBorder="1" applyAlignment="1">
      <alignment horizontal="center"/>
    </xf>
    <xf numFmtId="0" fontId="0" fillId="5" borderId="0" xfId="0" applyFill="1" applyBorder="1"/>
    <xf numFmtId="0" fontId="0" fillId="5" borderId="0" xfId="0" applyFill="1"/>
    <xf numFmtId="0" fontId="17" fillId="0" borderId="4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8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164" fontId="4" fillId="9" borderId="0" xfId="0" applyNumberFormat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8" borderId="0" xfId="0" applyNumberFormat="1" applyFont="1" applyFill="1" applyAlignment="1">
      <alignment horizontal="center" vertical="center"/>
    </xf>
    <xf numFmtId="164" fontId="4" fillId="8" borderId="0" xfId="0" applyNumberFormat="1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8" fillId="0" borderId="0" xfId="0" applyFont="1"/>
    <xf numFmtId="164" fontId="5" fillId="0" borderId="0" xfId="0" applyNumberFormat="1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5" fillId="2" borderId="0" xfId="0" applyNumberFormat="1" applyFont="1" applyFill="1" applyAlignment="1">
      <alignment horizontal="center" vertical="center"/>
    </xf>
    <xf numFmtId="164" fontId="5" fillId="2" borderId="0" xfId="0" applyNumberFormat="1" applyFont="1" applyFill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167" fontId="4" fillId="0" borderId="0" xfId="0" applyNumberFormat="1" applyFont="1" applyAlignment="1">
      <alignment horizontal="center" vertical="center"/>
    </xf>
  </cellXfs>
  <cellStyles count="3">
    <cellStyle name="Normale" xfId="0" builtinId="0"/>
    <cellStyle name="Normale 2" xfId="1"/>
    <cellStyle name="Percentual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205778670172861E-2"/>
          <c:y val="5.0639371912294201E-2"/>
          <c:w val="0.88589169235946919"/>
          <c:h val="0.72972639877218559"/>
        </c:manualLayout>
      </c:layout>
      <c:lineChart>
        <c:grouping val="standard"/>
        <c:varyColors val="0"/>
        <c:ser>
          <c:idx val="0"/>
          <c:order val="0"/>
          <c:tx>
            <c:strRef>
              <c:f>'Media Distrib.Freq.'!$I$2</c:f>
              <c:strCache>
                <c:ptCount val="1"/>
                <c:pt idx="0">
                  <c:v>non-fumatrici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'Media Distrib.Freq.'!$H$3:$H$7</c:f>
              <c:strCache>
                <c:ptCount val="5"/>
                <c:pt idx="0">
                  <c:v>500-1.499</c:v>
                </c:pt>
                <c:pt idx="1">
                  <c:v>1500-2499</c:v>
                </c:pt>
                <c:pt idx="2">
                  <c:v>2500-3499</c:v>
                </c:pt>
                <c:pt idx="3">
                  <c:v>3500-4499</c:v>
                </c:pt>
                <c:pt idx="4">
                  <c:v>4500-5499</c:v>
                </c:pt>
              </c:strCache>
            </c:strRef>
          </c:cat>
          <c:val>
            <c:numRef>
              <c:f>'Media Distrib.Freq.'!$I$3:$I$7</c:f>
              <c:numCache>
                <c:formatCode>0.0%</c:formatCode>
                <c:ptCount val="5"/>
                <c:pt idx="0">
                  <c:v>2.6086956521739129E-2</c:v>
                </c:pt>
                <c:pt idx="1">
                  <c:v>0.22608695652173913</c:v>
                </c:pt>
                <c:pt idx="2">
                  <c:v>0.44347826086956521</c:v>
                </c:pt>
                <c:pt idx="3">
                  <c:v>0.28695652173913044</c:v>
                </c:pt>
                <c:pt idx="4">
                  <c:v>1.7391304347826087E-2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BB-4BE1-B70D-1FDBB400F2D5}"/>
            </c:ext>
          </c:extLst>
        </c:ser>
        <c:ser>
          <c:idx val="1"/>
          <c:order val="1"/>
          <c:tx>
            <c:strRef>
              <c:f>'Media Distrib.Freq.'!$J$2</c:f>
              <c:strCache>
                <c:ptCount val="1"/>
                <c:pt idx="0">
                  <c:v>fumatrici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'Media Distrib.Freq.'!$H$3:$H$7</c:f>
              <c:strCache>
                <c:ptCount val="5"/>
                <c:pt idx="0">
                  <c:v>500-1.499</c:v>
                </c:pt>
                <c:pt idx="1">
                  <c:v>1500-2499</c:v>
                </c:pt>
                <c:pt idx="2">
                  <c:v>2500-3499</c:v>
                </c:pt>
                <c:pt idx="3">
                  <c:v>3500-4499</c:v>
                </c:pt>
                <c:pt idx="4">
                  <c:v>4500-5499</c:v>
                </c:pt>
              </c:strCache>
            </c:strRef>
          </c:cat>
          <c:val>
            <c:numRef>
              <c:f>'Media Distrib.Freq.'!$J$3:$J$7</c:f>
              <c:numCache>
                <c:formatCode>0.0%</c:formatCode>
                <c:ptCount val="5"/>
                <c:pt idx="0">
                  <c:v>2.7027027027027029E-2</c:v>
                </c:pt>
                <c:pt idx="1">
                  <c:v>0.3783783783783784</c:v>
                </c:pt>
                <c:pt idx="2">
                  <c:v>0.44594594594594594</c:v>
                </c:pt>
                <c:pt idx="3">
                  <c:v>0.14864864864864866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BB-4BE1-B70D-1FDBB400F2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74152"/>
        <c:axId val="525680056"/>
      </c:lineChart>
      <c:catAx>
        <c:axId val="525674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Peso alla nascita (grammi)</a:t>
                </a:r>
              </a:p>
            </c:rich>
          </c:tx>
          <c:layout>
            <c:manualLayout>
              <c:xMode val="edge"/>
              <c:yMode val="edge"/>
              <c:x val="0.36697985265973981"/>
              <c:y val="0.842771456213617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5680056"/>
        <c:crosses val="autoZero"/>
        <c:auto val="1"/>
        <c:lblAlgn val="ctr"/>
        <c:lblOffset val="0"/>
        <c:noMultiLvlLbl val="0"/>
      </c:catAx>
      <c:valAx>
        <c:axId val="525680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Frequenza relativa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5674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430488253564434"/>
          <c:y val="0.90561031317751006"/>
          <c:w val="0.43139023492871137"/>
          <c:h val="9.4389686822489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205778670172861E-2"/>
          <c:y val="5.0639371912294201E-2"/>
          <c:w val="0.88589169235946919"/>
          <c:h val="0.72972639877218559"/>
        </c:manualLayout>
      </c:layout>
      <c:lineChart>
        <c:grouping val="standard"/>
        <c:varyColors val="0"/>
        <c:ser>
          <c:idx val="0"/>
          <c:order val="0"/>
          <c:tx>
            <c:strRef>
              <c:f>'Media Distrib.Freq.'!$L$2</c:f>
              <c:strCache>
                <c:ptCount val="1"/>
                <c:pt idx="0">
                  <c:v>non-fumatrici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'Media Distrib.Freq.'!$K$3:$K$7</c:f>
              <c:strCache>
                <c:ptCount val="5"/>
                <c:pt idx="0">
                  <c:v>500-1.499</c:v>
                </c:pt>
                <c:pt idx="1">
                  <c:v>1500-2499</c:v>
                </c:pt>
                <c:pt idx="2">
                  <c:v>2500-3499</c:v>
                </c:pt>
                <c:pt idx="3">
                  <c:v>3500-4499</c:v>
                </c:pt>
                <c:pt idx="4">
                  <c:v>4500-5499</c:v>
                </c:pt>
              </c:strCache>
            </c:strRef>
          </c:cat>
          <c:val>
            <c:numRef>
              <c:f>'Media Distrib.Freq.'!$L$3:$L$7</c:f>
              <c:numCache>
                <c:formatCode>0.0%</c:formatCode>
                <c:ptCount val="5"/>
                <c:pt idx="0">
                  <c:v>2.6086956521739129E-2</c:v>
                </c:pt>
                <c:pt idx="1">
                  <c:v>0.25217391304347825</c:v>
                </c:pt>
                <c:pt idx="2">
                  <c:v>0.69565217391304346</c:v>
                </c:pt>
                <c:pt idx="3">
                  <c:v>0.9826086956521739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07-4670-A3AC-A9E69290F6C2}"/>
            </c:ext>
          </c:extLst>
        </c:ser>
        <c:ser>
          <c:idx val="1"/>
          <c:order val="1"/>
          <c:tx>
            <c:strRef>
              <c:f>'Media Distrib.Freq.'!$M$2</c:f>
              <c:strCache>
                <c:ptCount val="1"/>
                <c:pt idx="0">
                  <c:v>fumatrici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'Media Distrib.Freq.'!$K$3:$K$7</c:f>
              <c:strCache>
                <c:ptCount val="5"/>
                <c:pt idx="0">
                  <c:v>500-1.499</c:v>
                </c:pt>
                <c:pt idx="1">
                  <c:v>1500-2499</c:v>
                </c:pt>
                <c:pt idx="2">
                  <c:v>2500-3499</c:v>
                </c:pt>
                <c:pt idx="3">
                  <c:v>3500-4499</c:v>
                </c:pt>
                <c:pt idx="4">
                  <c:v>4500-5499</c:v>
                </c:pt>
              </c:strCache>
            </c:strRef>
          </c:cat>
          <c:val>
            <c:numRef>
              <c:f>'Media Distrib.Freq.'!$M$3:$M$7</c:f>
              <c:numCache>
                <c:formatCode>0%</c:formatCode>
                <c:ptCount val="5"/>
                <c:pt idx="0">
                  <c:v>2.7027027027027029E-2</c:v>
                </c:pt>
                <c:pt idx="1">
                  <c:v>0.40540540540540543</c:v>
                </c:pt>
                <c:pt idx="2">
                  <c:v>0.85135135135135132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07-4670-A3AC-A9E69290F6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674152"/>
        <c:axId val="525680056"/>
      </c:lineChart>
      <c:catAx>
        <c:axId val="5256741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Peso alla nascita (grammi)</a:t>
                </a:r>
              </a:p>
            </c:rich>
          </c:tx>
          <c:layout>
            <c:manualLayout>
              <c:xMode val="edge"/>
              <c:yMode val="edge"/>
              <c:x val="0.36697985265973981"/>
              <c:y val="0.842771456213617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5680056"/>
        <c:crosses val="autoZero"/>
        <c:auto val="1"/>
        <c:lblAlgn val="ctr"/>
        <c:lblOffset val="0"/>
        <c:noMultiLvlLbl val="0"/>
      </c:catAx>
      <c:valAx>
        <c:axId val="525680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/>
                  <a:t>Frequenza cumulativa relativa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 w="190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525674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430488253564434"/>
          <c:y val="0.90561031317751006"/>
          <c:w val="0.43139023492871137"/>
          <c:h val="9.4389686822489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573033434881"/>
          <c:y val="9.523815675000824E-2"/>
          <c:w val="0.75121492768506282"/>
          <c:h val="0.73809571481256386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'chi-quadrato'!$E$5</c:f>
              <c:strCache>
                <c:ptCount val="1"/>
                <c:pt idx="0">
                  <c:v>Normopeso</c:v>
                </c:pt>
              </c:strCache>
            </c:strRef>
          </c:tx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'chi-quadrato'!$B$6:$C$7</c:f>
              <c:strCache>
                <c:ptCount val="2"/>
                <c:pt idx="0">
                  <c:v>Madre fuma</c:v>
                </c:pt>
                <c:pt idx="1">
                  <c:v>Madre non-fumatrice</c:v>
                </c:pt>
              </c:strCache>
            </c:strRef>
          </c:cat>
          <c:val>
            <c:numRef>
              <c:f>'chi-quadrato'!$E$6:$E$7</c:f>
              <c:numCache>
                <c:formatCode>General</c:formatCode>
                <c:ptCount val="2"/>
                <c:pt idx="0">
                  <c:v>44</c:v>
                </c:pt>
                <c:pt idx="1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1D-4962-9B11-B9E34D88C108}"/>
            </c:ext>
          </c:extLst>
        </c:ser>
        <c:ser>
          <c:idx val="0"/>
          <c:order val="1"/>
          <c:tx>
            <c:strRef>
              <c:f>'chi-quadrato'!$D$5</c:f>
              <c:strCache>
                <c:ptCount val="1"/>
                <c:pt idx="0">
                  <c:v>Sottopeso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'chi-quadrato'!$B$6:$C$7</c:f>
              <c:strCache>
                <c:ptCount val="2"/>
                <c:pt idx="0">
                  <c:v>Madre fuma</c:v>
                </c:pt>
                <c:pt idx="1">
                  <c:v>Madre non-fumatrice</c:v>
                </c:pt>
              </c:strCache>
            </c:strRef>
          </c:cat>
          <c:val>
            <c:numRef>
              <c:f>'chi-quadrato'!$D$6:$D$7</c:f>
              <c:numCache>
                <c:formatCode>General</c:formatCode>
                <c:ptCount val="2"/>
                <c:pt idx="0">
                  <c:v>30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1D-4962-9B11-B9E34D88C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631792"/>
        <c:axId val="1"/>
      </c:barChart>
      <c:catAx>
        <c:axId val="51063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27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pazienti</a:t>
                </a:r>
              </a:p>
            </c:rich>
          </c:tx>
          <c:layout>
            <c:manualLayout>
              <c:xMode val="edge"/>
              <c:yMode val="edge"/>
              <c:x val="2.669907658977606E-2"/>
              <c:y val="0.365079600875031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5106317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320547136705364"/>
          <c:y val="0.39153464441670049"/>
          <c:w val="9.3446768064216215E-2"/>
          <c:h val="0.1455027394791792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 paperSize="9" orientation="landscape" horizontalDpi="-3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'[1]chi-quadrato'!$E$5</c:f>
              <c:strCache>
                <c:ptCount val="1"/>
                <c:pt idx="0">
                  <c:v>Vivo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'[1]chi-quadrato'!$B$6:$C$7</c:f>
              <c:multiLvlStrCache>
                <c:ptCount val="2"/>
                <c:lvl/>
                <c:lvl>
                  <c:pt idx="0">
                    <c:v>gastr. totale</c:v>
                  </c:pt>
                  <c:pt idx="1">
                    <c:v>gastr. subtotale</c:v>
                  </c:pt>
                </c:lvl>
              </c:multiLvlStrCache>
            </c:multiLvlStrRef>
          </c:cat>
          <c:val>
            <c:numRef>
              <c:f>'[1]chi-quadrato'!$E$6:$E$7</c:f>
              <c:numCache>
                <c:formatCode>General</c:formatCode>
                <c:ptCount val="2"/>
                <c:pt idx="0">
                  <c:v>770</c:v>
                </c:pt>
                <c:pt idx="1">
                  <c:v>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8-4F3A-B4E1-AEBB8851D175}"/>
            </c:ext>
          </c:extLst>
        </c:ser>
        <c:ser>
          <c:idx val="0"/>
          <c:order val="1"/>
          <c:tx>
            <c:strRef>
              <c:f>'[1]chi-quadrato'!$D$5</c:f>
              <c:strCache>
                <c:ptCount val="1"/>
                <c:pt idx="0">
                  <c:v>Morto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'[1]chi-quadrato'!$B$6:$C$7</c:f>
              <c:multiLvlStrCache>
                <c:ptCount val="2"/>
                <c:lvl/>
                <c:lvl>
                  <c:pt idx="0">
                    <c:v>gastr. totale</c:v>
                  </c:pt>
                  <c:pt idx="1">
                    <c:v>gastr. subtotale</c:v>
                  </c:pt>
                </c:lvl>
              </c:multiLvlStrCache>
            </c:multiLvlStrRef>
          </c:cat>
          <c:val>
            <c:numRef>
              <c:f>'[1]chi-quadrato'!$D$6:$D$7</c:f>
              <c:numCache>
                <c:formatCode>General</c:formatCode>
                <c:ptCount val="2"/>
                <c:pt idx="0">
                  <c:v>67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98-4F3A-B4E1-AEBB8851D1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3754624"/>
        <c:axId val="1"/>
      </c:barChart>
      <c:catAx>
        <c:axId val="22375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numero pazienti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2375462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98703355015405"/>
          <c:y val="9.3541275082550182E-2"/>
          <c:w val="0.89795918367346939"/>
          <c:h val="0.74610244988864138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errBars>
            <c:errBarType val="plus"/>
            <c:errValType val="cust"/>
            <c:noEndCap val="0"/>
            <c:plus>
              <c:numRef>
                <c:f>'[1]test t'!$I$5:$J$5</c:f>
                <c:numCache>
                  <c:formatCode>General</c:formatCode>
                  <c:ptCount val="2"/>
                  <c:pt idx="0">
                    <c:v>144.45924244323285</c:v>
                  </c:pt>
                  <c:pt idx="1">
                    <c:v>46.171780703513413</c:v>
                  </c:pt>
                </c:numCache>
              </c:numRef>
            </c:plus>
            <c:spPr>
              <a:ln w="38100">
                <a:solidFill>
                  <a:srgbClr val="000000"/>
                </a:solidFill>
                <a:prstDash val="solid"/>
              </a:ln>
            </c:spPr>
          </c:errBars>
          <c:cat>
            <c:strRef>
              <c:f>'[1]test t'!$I$3:$J$3</c:f>
              <c:strCache>
                <c:ptCount val="2"/>
                <c:pt idx="0">
                  <c:v>Ipercalcemia</c:v>
                </c:pt>
                <c:pt idx="1">
                  <c:v>Ca normale</c:v>
                </c:pt>
              </c:strCache>
            </c:strRef>
          </c:cat>
          <c:val>
            <c:numRef>
              <c:f>'[1]test t'!$I$4:$J$4</c:f>
              <c:numCache>
                <c:formatCode>General</c:formatCode>
                <c:ptCount val="2"/>
                <c:pt idx="0">
                  <c:v>241.45454545454547</c:v>
                </c:pt>
                <c:pt idx="1">
                  <c:v>147.5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78-4D54-9A08-47C2D08B1E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751344"/>
        <c:axId val="1"/>
      </c:barChart>
      <c:catAx>
        <c:axId val="2237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254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it-IT"/>
                  <a:t>iPgE</a:t>
                </a:r>
              </a:p>
            </c:rich>
          </c:tx>
          <c:layout>
            <c:manualLayout>
              <c:xMode val="edge"/>
              <c:yMode val="edge"/>
              <c:x val="1.1126326600478736E-5"/>
              <c:y val="0.3466104478875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237513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04185872632184"/>
          <c:y val="6.223202048694209E-2"/>
          <c:w val="0.80989686317044984"/>
          <c:h val="0.6738225666517178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noFill/>
            </a:ln>
          </c:spPr>
          <c:marker>
            <c:symbol val="squar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regressione!$A$3:$A$100</c:f>
              <c:numCache>
                <c:formatCode>General</c:formatCode>
                <c:ptCount val="98"/>
                <c:pt idx="0">
                  <c:v>500</c:v>
                </c:pt>
                <c:pt idx="1">
                  <c:v>500</c:v>
                </c:pt>
                <c:pt idx="2">
                  <c:v>301</c:v>
                </c:pt>
                <c:pt idx="3">
                  <c:v>272</c:v>
                </c:pt>
                <c:pt idx="4">
                  <c:v>226</c:v>
                </c:pt>
                <c:pt idx="5">
                  <c:v>183</c:v>
                </c:pt>
                <c:pt idx="6">
                  <c:v>183</c:v>
                </c:pt>
                <c:pt idx="7">
                  <c:v>177</c:v>
                </c:pt>
                <c:pt idx="8">
                  <c:v>136</c:v>
                </c:pt>
                <c:pt idx="9">
                  <c:v>118</c:v>
                </c:pt>
                <c:pt idx="10">
                  <c:v>60</c:v>
                </c:pt>
                <c:pt idx="11">
                  <c:v>254</c:v>
                </c:pt>
                <c:pt idx="12">
                  <c:v>172</c:v>
                </c:pt>
                <c:pt idx="13">
                  <c:v>168</c:v>
                </c:pt>
                <c:pt idx="14">
                  <c:v>150</c:v>
                </c:pt>
                <c:pt idx="15">
                  <c:v>148</c:v>
                </c:pt>
                <c:pt idx="16">
                  <c:v>144</c:v>
                </c:pt>
                <c:pt idx="17">
                  <c:v>130</c:v>
                </c:pt>
                <c:pt idx="18">
                  <c:v>121</c:v>
                </c:pt>
                <c:pt idx="19">
                  <c:v>100</c:v>
                </c:pt>
                <c:pt idx="20">
                  <c:v>88</c:v>
                </c:pt>
              </c:numCache>
            </c:numRef>
          </c:xVal>
          <c:yVal>
            <c:numRef>
              <c:f>regressione!$B$3:$B$100</c:f>
              <c:numCache>
                <c:formatCode>General</c:formatCode>
                <c:ptCount val="98"/>
                <c:pt idx="0">
                  <c:v>13.3</c:v>
                </c:pt>
                <c:pt idx="1">
                  <c:v>11.2</c:v>
                </c:pt>
                <c:pt idx="2">
                  <c:v>13.4</c:v>
                </c:pt>
                <c:pt idx="3">
                  <c:v>11.5</c:v>
                </c:pt>
                <c:pt idx="4">
                  <c:v>11.4</c:v>
                </c:pt>
                <c:pt idx="5">
                  <c:v>11.6</c:v>
                </c:pt>
                <c:pt idx="6">
                  <c:v>11.7</c:v>
                </c:pt>
                <c:pt idx="7">
                  <c:v>12.1</c:v>
                </c:pt>
                <c:pt idx="8">
                  <c:v>12.5</c:v>
                </c:pt>
                <c:pt idx="9">
                  <c:v>12.2</c:v>
                </c:pt>
                <c:pt idx="10">
                  <c:v>18</c:v>
                </c:pt>
                <c:pt idx="11">
                  <c:v>10.1</c:v>
                </c:pt>
                <c:pt idx="12">
                  <c:v>9.4</c:v>
                </c:pt>
                <c:pt idx="13">
                  <c:v>9.3000000000000007</c:v>
                </c:pt>
                <c:pt idx="14">
                  <c:v>8.6</c:v>
                </c:pt>
                <c:pt idx="15">
                  <c:v>10.5</c:v>
                </c:pt>
                <c:pt idx="16">
                  <c:v>10.3</c:v>
                </c:pt>
                <c:pt idx="17">
                  <c:v>10.5</c:v>
                </c:pt>
                <c:pt idx="18">
                  <c:v>10.199999999999999</c:v>
                </c:pt>
                <c:pt idx="19">
                  <c:v>9.6999999999999993</c:v>
                </c:pt>
                <c:pt idx="20">
                  <c:v>9.1999999999999993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0F-425C-A070-3A77B89872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6456600"/>
        <c:axId val="1"/>
      </c:scatterChart>
      <c:valAx>
        <c:axId val="2064566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PgE (pg/ml)</a:t>
                </a:r>
              </a:p>
            </c:rich>
          </c:tx>
          <c:layout>
            <c:manualLayout>
              <c:xMode val="edge"/>
              <c:yMode val="edge"/>
              <c:x val="0.46484434108014561"/>
              <c:y val="0.849788969407898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25400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Calcemia (mg/dl)</a:t>
                </a:r>
              </a:p>
            </c:rich>
          </c:tx>
          <c:layout>
            <c:manualLayout>
              <c:xMode val="edge"/>
              <c:yMode val="edge"/>
              <c:x val="3.7760464681580459E-2"/>
              <c:y val="0.27682519457984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06456600"/>
        <c:crosses val="autoZero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78740157480314965" l="0.78740157480314965" r="0.78740157480314965" t="0.78740157480314965" header="0.51181102362204722" footer="0.51181102362204722"/>
    <c:pageSetup paperSize="9" orientation="landscape" horizontalDpi="300" verticalDpi="30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254000</xdr:colOff>
      <xdr:row>9</xdr:row>
      <xdr:rowOff>4234</xdr:rowOff>
    </xdr:from>
    <xdr:to>
      <xdr:col>12</xdr:col>
      <xdr:colOff>282222</xdr:colOff>
      <xdr:row>18</xdr:row>
      <xdr:rowOff>76907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15875</xdr:colOff>
      <xdr:row>9</xdr:row>
      <xdr:rowOff>47625</xdr:rowOff>
    </xdr:from>
    <xdr:to>
      <xdr:col>21</xdr:col>
      <xdr:colOff>488597</xdr:colOff>
      <xdr:row>18</xdr:row>
      <xdr:rowOff>120298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14</xdr:row>
      <xdr:rowOff>133350</xdr:rowOff>
    </xdr:from>
    <xdr:to>
      <xdr:col>10</xdr:col>
      <xdr:colOff>514350</xdr:colOff>
      <xdr:row>29</xdr:row>
      <xdr:rowOff>152400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0</xdr:rowOff>
    </xdr:from>
    <xdr:to>
      <xdr:col>6</xdr:col>
      <xdr:colOff>0</xdr:colOff>
      <xdr:row>7</xdr:row>
      <xdr:rowOff>0</xdr:rowOff>
    </xdr:to>
    <xdr:graphicFrame macro="">
      <xdr:nvGraphicFramePr>
        <xdr:cNvPr id="2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908050</xdr:colOff>
      <xdr:row>5</xdr:row>
      <xdr:rowOff>190500</xdr:rowOff>
    </xdr:from>
    <xdr:to>
      <xdr:col>10</xdr:col>
      <xdr:colOff>0</xdr:colOff>
      <xdr:row>17</xdr:row>
      <xdr:rowOff>146050</xdr:rowOff>
    </xdr:to>
    <xdr:graphicFrame macro="">
      <xdr:nvGraphicFramePr>
        <xdr:cNvPr id="3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406400</xdr:colOff>
      <xdr:row>13</xdr:row>
      <xdr:rowOff>50800</xdr:rowOff>
    </xdr:from>
    <xdr:to>
      <xdr:col>9</xdr:col>
      <xdr:colOff>679450</xdr:colOff>
      <xdr:row>25</xdr:row>
      <xdr:rowOff>114300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oluzioni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 media"/>
      <sheetName val="IC prevalenza"/>
      <sheetName val="test t"/>
      <sheetName val="t x dati appaiati"/>
      <sheetName val="chi-quadrato"/>
      <sheetName val="Chi-quad dati individuali"/>
      <sheetName val="regressione"/>
    </sheetNames>
    <sheetDataSet>
      <sheetData sheetId="0" refreshError="1"/>
      <sheetData sheetId="1" refreshError="1"/>
      <sheetData sheetId="2">
        <row r="3">
          <cell r="I3" t="str">
            <v>Ipercalcemia</v>
          </cell>
          <cell r="J3" t="str">
            <v>Ca normale</v>
          </cell>
        </row>
        <row r="4">
          <cell r="I4">
            <v>241.45454545454547</v>
          </cell>
          <cell r="J4">
            <v>147.5</v>
          </cell>
        </row>
        <row r="5">
          <cell r="I5">
            <v>144.45924244323285</v>
          </cell>
          <cell r="J5">
            <v>46.171780703513413</v>
          </cell>
        </row>
      </sheetData>
      <sheetData sheetId="3" refreshError="1"/>
      <sheetData sheetId="4">
        <row r="5">
          <cell r="D5" t="str">
            <v>Morto</v>
          </cell>
          <cell r="E5" t="str">
            <v>Vivo</v>
          </cell>
        </row>
        <row r="6">
          <cell r="B6" t="str">
            <v>gastr. totale</v>
          </cell>
          <cell r="D6">
            <v>67</v>
          </cell>
          <cell r="E6">
            <v>770</v>
          </cell>
        </row>
        <row r="7">
          <cell r="B7" t="str">
            <v>gastr. subtotale</v>
          </cell>
          <cell r="D7">
            <v>18</v>
          </cell>
          <cell r="E7">
            <v>687</v>
          </cell>
        </row>
      </sheetData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2" zoomScale="150" zoomScaleNormal="150" workbookViewId="0">
      <selection activeCell="F8" sqref="F8"/>
    </sheetView>
  </sheetViews>
  <sheetFormatPr defaultRowHeight="14.5" x14ac:dyDescent="0.35"/>
  <sheetData>
    <row r="1" spans="1:5" ht="18.5" x14ac:dyDescent="0.45">
      <c r="A1" s="1" t="s">
        <v>4</v>
      </c>
      <c r="B1" s="1"/>
      <c r="C1" s="1"/>
      <c r="D1" s="1"/>
      <c r="E1" s="1"/>
    </row>
    <row r="2" spans="1:5" ht="18.5" x14ac:dyDescent="0.45">
      <c r="A2" s="1"/>
      <c r="B2" s="1"/>
      <c r="C2" s="1"/>
      <c r="D2" s="1"/>
      <c r="E2" s="1"/>
    </row>
    <row r="3" spans="1:5" ht="18.5" x14ac:dyDescent="0.45">
      <c r="A3" s="2"/>
      <c r="B3" s="2" t="s">
        <v>2</v>
      </c>
      <c r="C3" s="2" t="s">
        <v>3</v>
      </c>
      <c r="D3" s="2"/>
      <c r="E3" s="1"/>
    </row>
    <row r="4" spans="1:5" ht="18.5" x14ac:dyDescent="0.45">
      <c r="A4" s="2" t="s">
        <v>0</v>
      </c>
      <c r="B4" s="78">
        <f>D4-C4</f>
        <v>231</v>
      </c>
      <c r="C4" s="3">
        <v>32</v>
      </c>
      <c r="D4" s="2">
        <v>263</v>
      </c>
      <c r="E4" s="1"/>
    </row>
    <row r="5" spans="1:5" ht="18.5" x14ac:dyDescent="0.45">
      <c r="A5" s="2" t="s">
        <v>1</v>
      </c>
      <c r="B5" s="3">
        <f>B6-B4</f>
        <v>27</v>
      </c>
      <c r="C5" s="78">
        <f>C6-C4</f>
        <v>54</v>
      </c>
      <c r="D5" s="2">
        <f>D6-D4</f>
        <v>81</v>
      </c>
      <c r="E5" s="1"/>
    </row>
    <row r="6" spans="1:5" ht="18.5" x14ac:dyDescent="0.45">
      <c r="A6" s="2"/>
      <c r="B6" s="2">
        <v>258</v>
      </c>
      <c r="C6" s="2">
        <f>D6-B6</f>
        <v>86</v>
      </c>
      <c r="D6" s="2">
        <v>344</v>
      </c>
      <c r="E6" s="1"/>
    </row>
    <row r="7" spans="1:5" ht="18.5" x14ac:dyDescent="0.45">
      <c r="A7" s="1"/>
      <c r="B7" s="1"/>
      <c r="C7" s="1"/>
      <c r="D7" s="1"/>
      <c r="E7" s="1"/>
    </row>
    <row r="8" spans="1:5" ht="18.5" x14ac:dyDescent="0.45">
      <c r="A8" s="1" t="s">
        <v>50</v>
      </c>
      <c r="B8" s="79">
        <f>B4/B6</f>
        <v>0.89534883720930236</v>
      </c>
      <c r="C8" s="1">
        <f>89.5/100</f>
        <v>0.89500000000000002</v>
      </c>
      <c r="D8" s="1"/>
      <c r="E8" s="1"/>
    </row>
    <row r="9" spans="1:5" ht="18.5" x14ac:dyDescent="0.45">
      <c r="A9" s="1" t="s">
        <v>51</v>
      </c>
      <c r="B9" s="79">
        <f>C5/C6</f>
        <v>0.62790697674418605</v>
      </c>
      <c r="C9" s="1"/>
      <c r="D9" s="1"/>
      <c r="E9" s="1"/>
    </row>
    <row r="10" spans="1:5" ht="18.5" x14ac:dyDescent="0.45">
      <c r="A10" s="1" t="s">
        <v>52</v>
      </c>
      <c r="B10" s="79">
        <f>B4/D4</f>
        <v>0.87832699619771859</v>
      </c>
      <c r="C10" s="1"/>
      <c r="D10" s="1"/>
      <c r="E10" s="1"/>
    </row>
    <row r="11" spans="1:5" ht="18.5" x14ac:dyDescent="0.45">
      <c r="A11" s="1" t="s">
        <v>53</v>
      </c>
      <c r="B11" s="79">
        <f>C5/D5</f>
        <v>0.66666666666666663</v>
      </c>
      <c r="C11" s="1"/>
      <c r="D11" s="1"/>
      <c r="E11" s="1"/>
    </row>
    <row r="12" spans="1:5" ht="18.5" x14ac:dyDescent="0.45">
      <c r="A12" s="1"/>
      <c r="B12" s="1"/>
      <c r="C12" s="1"/>
      <c r="D12" s="1"/>
      <c r="E12" s="1"/>
    </row>
    <row r="13" spans="1:5" ht="18.5" x14ac:dyDescent="0.45">
      <c r="A13" s="1"/>
      <c r="B13" s="1"/>
      <c r="C13" s="1"/>
      <c r="D13" s="1"/>
      <c r="E13" s="1"/>
    </row>
    <row r="14" spans="1:5" ht="18.5" x14ac:dyDescent="0.45">
      <c r="A14" s="1"/>
      <c r="B14" s="1"/>
      <c r="C14" s="1"/>
      <c r="D14" s="1"/>
      <c r="E14" s="1"/>
    </row>
    <row r="15" spans="1:5" ht="18.5" x14ac:dyDescent="0.45">
      <c r="A15" s="1"/>
      <c r="B15" s="1"/>
      <c r="C15" s="1"/>
      <c r="D15" s="1"/>
      <c r="E15" s="1"/>
    </row>
    <row r="16" spans="1:5" ht="18.5" x14ac:dyDescent="0.45">
      <c r="A16" s="1"/>
      <c r="B16" s="1"/>
      <c r="C16" s="1"/>
      <c r="D16" s="1"/>
      <c r="E16" s="1"/>
    </row>
    <row r="17" spans="1:5" ht="18.5" x14ac:dyDescent="0.45">
      <c r="A17" s="1"/>
      <c r="B17" s="1"/>
      <c r="C17" s="1"/>
      <c r="D17" s="1"/>
      <c r="E17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opLeftCell="A3" zoomScale="70" zoomScaleNormal="70" workbookViewId="0">
      <selection activeCell="K23" sqref="K23"/>
    </sheetView>
  </sheetViews>
  <sheetFormatPr defaultRowHeight="23.5" x14ac:dyDescent="0.55000000000000004"/>
  <cols>
    <col min="1" max="4" width="22.54296875" style="6" customWidth="1"/>
    <col min="5" max="5" width="15.54296875" customWidth="1"/>
    <col min="8" max="11" width="14.6328125" customWidth="1"/>
    <col min="12" max="14" width="12.6328125" customWidth="1"/>
    <col min="258" max="261" width="22.54296875" customWidth="1"/>
    <col min="262" max="262" width="15.54296875" customWidth="1"/>
    <col min="514" max="517" width="22.54296875" customWidth="1"/>
    <col min="518" max="518" width="15.54296875" customWidth="1"/>
    <col min="770" max="773" width="22.54296875" customWidth="1"/>
    <col min="774" max="774" width="15.54296875" customWidth="1"/>
    <col min="1026" max="1029" width="22.54296875" customWidth="1"/>
    <col min="1030" max="1030" width="15.54296875" customWidth="1"/>
    <col min="1282" max="1285" width="22.54296875" customWidth="1"/>
    <col min="1286" max="1286" width="15.54296875" customWidth="1"/>
    <col min="1538" max="1541" width="22.54296875" customWidth="1"/>
    <col min="1542" max="1542" width="15.54296875" customWidth="1"/>
    <col min="1794" max="1797" width="22.54296875" customWidth="1"/>
    <col min="1798" max="1798" width="15.54296875" customWidth="1"/>
    <col min="2050" max="2053" width="22.54296875" customWidth="1"/>
    <col min="2054" max="2054" width="15.54296875" customWidth="1"/>
    <col min="2306" max="2309" width="22.54296875" customWidth="1"/>
    <col min="2310" max="2310" width="15.54296875" customWidth="1"/>
    <col min="2562" max="2565" width="22.54296875" customWidth="1"/>
    <col min="2566" max="2566" width="15.54296875" customWidth="1"/>
    <col min="2818" max="2821" width="22.54296875" customWidth="1"/>
    <col min="2822" max="2822" width="15.54296875" customWidth="1"/>
    <col min="3074" max="3077" width="22.54296875" customWidth="1"/>
    <col min="3078" max="3078" width="15.54296875" customWidth="1"/>
    <col min="3330" max="3333" width="22.54296875" customWidth="1"/>
    <col min="3334" max="3334" width="15.54296875" customWidth="1"/>
    <col min="3586" max="3589" width="22.54296875" customWidth="1"/>
    <col min="3590" max="3590" width="15.54296875" customWidth="1"/>
    <col min="3842" max="3845" width="22.54296875" customWidth="1"/>
    <col min="3846" max="3846" width="15.54296875" customWidth="1"/>
    <col min="4098" max="4101" width="22.54296875" customWidth="1"/>
    <col min="4102" max="4102" width="15.54296875" customWidth="1"/>
    <col min="4354" max="4357" width="22.54296875" customWidth="1"/>
    <col min="4358" max="4358" width="15.54296875" customWidth="1"/>
    <col min="4610" max="4613" width="22.54296875" customWidth="1"/>
    <col min="4614" max="4614" width="15.54296875" customWidth="1"/>
    <col min="4866" max="4869" width="22.54296875" customWidth="1"/>
    <col min="4870" max="4870" width="15.54296875" customWidth="1"/>
    <col min="5122" max="5125" width="22.54296875" customWidth="1"/>
    <col min="5126" max="5126" width="15.54296875" customWidth="1"/>
    <col min="5378" max="5381" width="22.54296875" customWidth="1"/>
    <col min="5382" max="5382" width="15.54296875" customWidth="1"/>
    <col min="5634" max="5637" width="22.54296875" customWidth="1"/>
    <col min="5638" max="5638" width="15.54296875" customWidth="1"/>
    <col min="5890" max="5893" width="22.54296875" customWidth="1"/>
    <col min="5894" max="5894" width="15.54296875" customWidth="1"/>
    <col min="6146" max="6149" width="22.54296875" customWidth="1"/>
    <col min="6150" max="6150" width="15.54296875" customWidth="1"/>
    <col min="6402" max="6405" width="22.54296875" customWidth="1"/>
    <col min="6406" max="6406" width="15.54296875" customWidth="1"/>
    <col min="6658" max="6661" width="22.54296875" customWidth="1"/>
    <col min="6662" max="6662" width="15.54296875" customWidth="1"/>
    <col min="6914" max="6917" width="22.54296875" customWidth="1"/>
    <col min="6918" max="6918" width="15.54296875" customWidth="1"/>
    <col min="7170" max="7173" width="22.54296875" customWidth="1"/>
    <col min="7174" max="7174" width="15.54296875" customWidth="1"/>
    <col min="7426" max="7429" width="22.54296875" customWidth="1"/>
    <col min="7430" max="7430" width="15.54296875" customWidth="1"/>
    <col min="7682" max="7685" width="22.54296875" customWidth="1"/>
    <col min="7686" max="7686" width="15.54296875" customWidth="1"/>
    <col min="7938" max="7941" width="22.54296875" customWidth="1"/>
    <col min="7942" max="7942" width="15.54296875" customWidth="1"/>
    <col min="8194" max="8197" width="22.54296875" customWidth="1"/>
    <col min="8198" max="8198" width="15.54296875" customWidth="1"/>
    <col min="8450" max="8453" width="22.54296875" customWidth="1"/>
    <col min="8454" max="8454" width="15.54296875" customWidth="1"/>
    <col min="8706" max="8709" width="22.54296875" customWidth="1"/>
    <col min="8710" max="8710" width="15.54296875" customWidth="1"/>
    <col min="8962" max="8965" width="22.54296875" customWidth="1"/>
    <col min="8966" max="8966" width="15.54296875" customWidth="1"/>
    <col min="9218" max="9221" width="22.54296875" customWidth="1"/>
    <col min="9222" max="9222" width="15.54296875" customWidth="1"/>
    <col min="9474" max="9477" width="22.54296875" customWidth="1"/>
    <col min="9478" max="9478" width="15.54296875" customWidth="1"/>
    <col min="9730" max="9733" width="22.54296875" customWidth="1"/>
    <col min="9734" max="9734" width="15.54296875" customWidth="1"/>
    <col min="9986" max="9989" width="22.54296875" customWidth="1"/>
    <col min="9990" max="9990" width="15.54296875" customWidth="1"/>
    <col min="10242" max="10245" width="22.54296875" customWidth="1"/>
    <col min="10246" max="10246" width="15.54296875" customWidth="1"/>
    <col min="10498" max="10501" width="22.54296875" customWidth="1"/>
    <col min="10502" max="10502" width="15.54296875" customWidth="1"/>
    <col min="10754" max="10757" width="22.54296875" customWidth="1"/>
    <col min="10758" max="10758" width="15.54296875" customWidth="1"/>
    <col min="11010" max="11013" width="22.54296875" customWidth="1"/>
    <col min="11014" max="11014" width="15.54296875" customWidth="1"/>
    <col min="11266" max="11269" width="22.54296875" customWidth="1"/>
    <col min="11270" max="11270" width="15.54296875" customWidth="1"/>
    <col min="11522" max="11525" width="22.54296875" customWidth="1"/>
    <col min="11526" max="11526" width="15.54296875" customWidth="1"/>
    <col min="11778" max="11781" width="22.54296875" customWidth="1"/>
    <col min="11782" max="11782" width="15.54296875" customWidth="1"/>
    <col min="12034" max="12037" width="22.54296875" customWidth="1"/>
    <col min="12038" max="12038" width="15.54296875" customWidth="1"/>
    <col min="12290" max="12293" width="22.54296875" customWidth="1"/>
    <col min="12294" max="12294" width="15.54296875" customWidth="1"/>
    <col min="12546" max="12549" width="22.54296875" customWidth="1"/>
    <col min="12550" max="12550" width="15.54296875" customWidth="1"/>
    <col min="12802" max="12805" width="22.54296875" customWidth="1"/>
    <col min="12806" max="12806" width="15.54296875" customWidth="1"/>
    <col min="13058" max="13061" width="22.54296875" customWidth="1"/>
    <col min="13062" max="13062" width="15.54296875" customWidth="1"/>
    <col min="13314" max="13317" width="22.54296875" customWidth="1"/>
    <col min="13318" max="13318" width="15.54296875" customWidth="1"/>
    <col min="13570" max="13573" width="22.54296875" customWidth="1"/>
    <col min="13574" max="13574" width="15.54296875" customWidth="1"/>
    <col min="13826" max="13829" width="22.54296875" customWidth="1"/>
    <col min="13830" max="13830" width="15.54296875" customWidth="1"/>
    <col min="14082" max="14085" width="22.54296875" customWidth="1"/>
    <col min="14086" max="14086" width="15.54296875" customWidth="1"/>
    <col min="14338" max="14341" width="22.54296875" customWidth="1"/>
    <col min="14342" max="14342" width="15.54296875" customWidth="1"/>
    <col min="14594" max="14597" width="22.54296875" customWidth="1"/>
    <col min="14598" max="14598" width="15.54296875" customWidth="1"/>
    <col min="14850" max="14853" width="22.54296875" customWidth="1"/>
    <col min="14854" max="14854" width="15.54296875" customWidth="1"/>
    <col min="15106" max="15109" width="22.54296875" customWidth="1"/>
    <col min="15110" max="15110" width="15.54296875" customWidth="1"/>
    <col min="15362" max="15365" width="22.54296875" customWidth="1"/>
    <col min="15366" max="15366" width="15.54296875" customWidth="1"/>
    <col min="15618" max="15621" width="22.54296875" customWidth="1"/>
    <col min="15622" max="15622" width="15.54296875" customWidth="1"/>
    <col min="15874" max="15877" width="22.54296875" customWidth="1"/>
    <col min="15878" max="15878" width="15.54296875" customWidth="1"/>
    <col min="16130" max="16133" width="22.54296875" customWidth="1"/>
    <col min="16134" max="16134" width="15.54296875" customWidth="1"/>
  </cols>
  <sheetData>
    <row r="1" spans="1:14" x14ac:dyDescent="0.55000000000000004">
      <c r="A1" s="4" t="s">
        <v>15</v>
      </c>
      <c r="B1" s="5" t="s">
        <v>5</v>
      </c>
      <c r="C1" s="5" t="s">
        <v>6</v>
      </c>
      <c r="E1" s="2" t="s">
        <v>7</v>
      </c>
      <c r="I1" s="1" t="s">
        <v>61</v>
      </c>
      <c r="J1" s="1"/>
      <c r="K1" s="1"/>
      <c r="L1" s="1" t="s">
        <v>62</v>
      </c>
      <c r="M1" s="1"/>
      <c r="N1" s="1"/>
    </row>
    <row r="2" spans="1:14" x14ac:dyDescent="0.45">
      <c r="A2" s="7" t="s">
        <v>8</v>
      </c>
      <c r="B2" s="7" t="s">
        <v>9</v>
      </c>
      <c r="C2" s="7" t="s">
        <v>10</v>
      </c>
      <c r="D2" s="8" t="s">
        <v>11</v>
      </c>
      <c r="E2" s="2"/>
      <c r="H2" s="81"/>
      <c r="I2" s="2" t="s">
        <v>59</v>
      </c>
      <c r="J2" s="2" t="s">
        <v>60</v>
      </c>
      <c r="K2" s="2"/>
      <c r="L2" s="2" t="s">
        <v>59</v>
      </c>
      <c r="M2" s="2" t="s">
        <v>60</v>
      </c>
      <c r="N2" s="1"/>
    </row>
    <row r="3" spans="1:14" x14ac:dyDescent="0.55000000000000004">
      <c r="A3" s="9">
        <v>1000</v>
      </c>
      <c r="B3" s="9">
        <v>3</v>
      </c>
      <c r="C3" s="9">
        <f>B3</f>
        <v>3</v>
      </c>
      <c r="D3" s="10">
        <f>B3*A3</f>
        <v>3000</v>
      </c>
      <c r="E3" s="2" t="str">
        <f t="shared" ref="E3:E8" si="0">IF(E2="Mediana","",IF(C3&gt;B$10,"Mediana",""))</f>
        <v/>
      </c>
      <c r="H3" s="81" t="s">
        <v>54</v>
      </c>
      <c r="I3" s="82">
        <f>B3/B$8</f>
        <v>2.6086956521739129E-2</v>
      </c>
      <c r="J3" s="82">
        <f>B15/B$20</f>
        <v>2.7027027027027029E-2</v>
      </c>
      <c r="K3" s="81" t="s">
        <v>54</v>
      </c>
      <c r="L3" s="79">
        <f>C3/B$8</f>
        <v>2.6086956521739129E-2</v>
      </c>
      <c r="M3" s="83">
        <f>C15/B$20</f>
        <v>2.7027027027027029E-2</v>
      </c>
      <c r="N3" s="1"/>
    </row>
    <row r="4" spans="1:14" x14ac:dyDescent="0.55000000000000004">
      <c r="A4" s="9">
        <v>2000</v>
      </c>
      <c r="B4" s="9">
        <v>26</v>
      </c>
      <c r="C4" s="9">
        <f>B4+C3</f>
        <v>29</v>
      </c>
      <c r="D4" s="10">
        <f>B4*A4</f>
        <v>52000</v>
      </c>
      <c r="E4" s="2" t="str">
        <f t="shared" si="0"/>
        <v/>
      </c>
      <c r="H4" s="81" t="s">
        <v>55</v>
      </c>
      <c r="I4" s="82">
        <f t="shared" ref="I4:I7" si="1">B4/B$8</f>
        <v>0.22608695652173913</v>
      </c>
      <c r="J4" s="82">
        <f t="shared" ref="J4:J7" si="2">B16/B$20</f>
        <v>0.3783783783783784</v>
      </c>
      <c r="K4" s="81" t="s">
        <v>55</v>
      </c>
      <c r="L4" s="79">
        <f t="shared" ref="L4:L7" si="3">C4/B$8</f>
        <v>0.25217391304347825</v>
      </c>
      <c r="M4" s="83">
        <f t="shared" ref="M4:M7" si="4">C16/B$20</f>
        <v>0.40540540540540543</v>
      </c>
      <c r="N4" s="1"/>
    </row>
    <row r="5" spans="1:14" x14ac:dyDescent="0.55000000000000004">
      <c r="A5" s="13">
        <v>3000</v>
      </c>
      <c r="B5" s="9">
        <v>51</v>
      </c>
      <c r="C5" s="9">
        <f>C4+B5</f>
        <v>80</v>
      </c>
      <c r="D5" s="10">
        <f>B5*A5</f>
        <v>153000</v>
      </c>
      <c r="E5" s="15" t="str">
        <f>IF(E4="Mediana","",IF(C5&gt;B$10,"Mediana",""))</f>
        <v>Mediana</v>
      </c>
      <c r="F5" s="14" t="s">
        <v>17</v>
      </c>
      <c r="H5" s="81" t="s">
        <v>56</v>
      </c>
      <c r="I5" s="82">
        <f t="shared" si="1"/>
        <v>0.44347826086956521</v>
      </c>
      <c r="J5" s="82">
        <f t="shared" si="2"/>
        <v>0.44594594594594594</v>
      </c>
      <c r="K5" s="81" t="s">
        <v>56</v>
      </c>
      <c r="L5" s="79">
        <f t="shared" si="3"/>
        <v>0.69565217391304346</v>
      </c>
      <c r="M5" s="83">
        <f t="shared" si="4"/>
        <v>0.85135135135135132</v>
      </c>
      <c r="N5" s="1"/>
    </row>
    <row r="6" spans="1:14" x14ac:dyDescent="0.55000000000000004">
      <c r="A6" s="9">
        <v>4000</v>
      </c>
      <c r="B6" s="9">
        <v>33</v>
      </c>
      <c r="C6" s="9">
        <f>C5+B6</f>
        <v>113</v>
      </c>
      <c r="D6" s="10">
        <f>B6*A6</f>
        <v>132000</v>
      </c>
      <c r="E6" s="2" t="str">
        <f t="shared" si="0"/>
        <v/>
      </c>
      <c r="H6" s="81" t="s">
        <v>57</v>
      </c>
      <c r="I6" s="82">
        <f t="shared" si="1"/>
        <v>0.28695652173913044</v>
      </c>
      <c r="J6" s="82">
        <f t="shared" si="2"/>
        <v>0.14864864864864866</v>
      </c>
      <c r="K6" s="81" t="s">
        <v>57</v>
      </c>
      <c r="L6" s="79">
        <f t="shared" si="3"/>
        <v>0.9826086956521739</v>
      </c>
      <c r="M6" s="83">
        <f t="shared" si="4"/>
        <v>1</v>
      </c>
      <c r="N6" s="1"/>
    </row>
    <row r="7" spans="1:14" x14ac:dyDescent="0.55000000000000004">
      <c r="A7" s="7">
        <v>5000</v>
      </c>
      <c r="B7" s="7">
        <v>2</v>
      </c>
      <c r="C7" s="7">
        <f>C6+B7</f>
        <v>115</v>
      </c>
      <c r="D7" s="10">
        <f>B7*A7</f>
        <v>10000</v>
      </c>
      <c r="E7" s="2" t="str">
        <f t="shared" si="0"/>
        <v>Mediana</v>
      </c>
      <c r="H7" s="81" t="s">
        <v>58</v>
      </c>
      <c r="I7" s="82">
        <f t="shared" si="1"/>
        <v>1.7391304347826087E-2</v>
      </c>
      <c r="J7" s="82">
        <f t="shared" si="2"/>
        <v>0</v>
      </c>
      <c r="K7" s="81" t="s">
        <v>58</v>
      </c>
      <c r="L7" s="79">
        <f t="shared" si="3"/>
        <v>1</v>
      </c>
      <c r="M7" s="83">
        <f t="shared" si="4"/>
        <v>1</v>
      </c>
      <c r="N7" s="1"/>
    </row>
    <row r="8" spans="1:14" x14ac:dyDescent="0.55000000000000004">
      <c r="A8" s="9" t="s">
        <v>12</v>
      </c>
      <c r="B8" s="9">
        <f>SUM(B3:B7)</f>
        <v>115</v>
      </c>
      <c r="C8" s="9"/>
      <c r="D8" s="10">
        <f>SUM(D3:D7)</f>
        <v>350000</v>
      </c>
      <c r="E8" s="2" t="str">
        <f t="shared" si="0"/>
        <v/>
      </c>
      <c r="H8" s="80"/>
      <c r="I8" s="80"/>
      <c r="J8" s="80"/>
      <c r="K8" s="80"/>
      <c r="L8" s="80"/>
      <c r="M8" s="80"/>
    </row>
    <row r="9" spans="1:14" ht="14.5" x14ac:dyDescent="0.35">
      <c r="A9"/>
      <c r="B9"/>
      <c r="C9"/>
      <c r="D9"/>
    </row>
    <row r="10" spans="1:14" x14ac:dyDescent="0.55000000000000004">
      <c r="A10" s="11" t="s">
        <v>13</v>
      </c>
      <c r="B10" s="11">
        <f>(B8+1)/2</f>
        <v>58</v>
      </c>
    </row>
    <row r="11" spans="1:14" x14ac:dyDescent="0.55000000000000004">
      <c r="A11" s="12" t="s">
        <v>14</v>
      </c>
      <c r="B11" s="10">
        <f>D8/B8</f>
        <v>3043.478260869565</v>
      </c>
    </row>
    <row r="13" spans="1:14" x14ac:dyDescent="0.55000000000000004">
      <c r="A13" s="4" t="s">
        <v>16</v>
      </c>
      <c r="B13" s="5" t="s">
        <v>5</v>
      </c>
      <c r="C13" s="5" t="s">
        <v>6</v>
      </c>
      <c r="E13" s="2" t="s">
        <v>7</v>
      </c>
    </row>
    <row r="14" spans="1:14" x14ac:dyDescent="0.35">
      <c r="A14" s="7" t="s">
        <v>8</v>
      </c>
      <c r="B14" s="7" t="s">
        <v>9</v>
      </c>
      <c r="C14" s="7" t="s">
        <v>10</v>
      </c>
      <c r="D14" s="8" t="s">
        <v>11</v>
      </c>
      <c r="E14" s="2"/>
    </row>
    <row r="15" spans="1:14" x14ac:dyDescent="0.55000000000000004">
      <c r="A15" s="9">
        <v>1000</v>
      </c>
      <c r="B15" s="9">
        <v>2</v>
      </c>
      <c r="C15" s="9">
        <f>B15</f>
        <v>2</v>
      </c>
      <c r="D15" s="10">
        <f>B15*A15</f>
        <v>2000</v>
      </c>
      <c r="E15" s="2" t="str">
        <f t="shared" ref="E15:E20" si="5">IF(E14="Mediana","",IF(C15&gt;B$10,"Mediana",""))</f>
        <v/>
      </c>
    </row>
    <row r="16" spans="1:14" x14ac:dyDescent="0.55000000000000004">
      <c r="A16" s="9">
        <v>2000</v>
      </c>
      <c r="B16" s="9">
        <v>28</v>
      </c>
      <c r="C16" s="9">
        <f>B16+C15</f>
        <v>30</v>
      </c>
      <c r="D16" s="10">
        <f>B16*A16</f>
        <v>56000</v>
      </c>
      <c r="E16" s="2" t="str">
        <f t="shared" si="5"/>
        <v/>
      </c>
    </row>
    <row r="17" spans="1:6" x14ac:dyDescent="0.55000000000000004">
      <c r="A17" s="13">
        <v>3000</v>
      </c>
      <c r="B17" s="9">
        <v>33</v>
      </c>
      <c r="C17" s="9">
        <f>C16+B17</f>
        <v>63</v>
      </c>
      <c r="D17" s="10">
        <f>B17*A17</f>
        <v>99000</v>
      </c>
      <c r="E17" s="15" t="str">
        <f t="shared" si="5"/>
        <v>Mediana</v>
      </c>
      <c r="F17" s="14" t="s">
        <v>17</v>
      </c>
    </row>
    <row r="18" spans="1:6" x14ac:dyDescent="0.55000000000000004">
      <c r="A18" s="9">
        <v>4000</v>
      </c>
      <c r="B18" s="9">
        <v>11</v>
      </c>
      <c r="C18" s="9">
        <f>C17+B18</f>
        <v>74</v>
      </c>
      <c r="D18" s="10">
        <f>B18*A18</f>
        <v>44000</v>
      </c>
      <c r="E18" s="2" t="str">
        <f t="shared" si="5"/>
        <v/>
      </c>
    </row>
    <row r="19" spans="1:6" x14ac:dyDescent="0.55000000000000004">
      <c r="A19" s="7">
        <v>5000</v>
      </c>
      <c r="B19" s="7">
        <v>0</v>
      </c>
      <c r="C19" s="7">
        <f>C18+B19</f>
        <v>74</v>
      </c>
      <c r="D19" s="10">
        <f>B19*A19</f>
        <v>0</v>
      </c>
      <c r="E19" s="2" t="str">
        <f t="shared" si="5"/>
        <v>Mediana</v>
      </c>
    </row>
    <row r="20" spans="1:6" x14ac:dyDescent="0.55000000000000004">
      <c r="A20" s="9" t="s">
        <v>12</v>
      </c>
      <c r="B20" s="9">
        <f>SUM(B15:B19)</f>
        <v>74</v>
      </c>
      <c r="C20" s="9"/>
      <c r="D20" s="10">
        <f>SUM(D15:D19)</f>
        <v>201000</v>
      </c>
      <c r="E20" s="2" t="str">
        <f t="shared" si="5"/>
        <v/>
      </c>
    </row>
    <row r="21" spans="1:6" ht="14.5" x14ac:dyDescent="0.35">
      <c r="A21"/>
      <c r="B21"/>
      <c r="C21"/>
      <c r="D21"/>
    </row>
    <row r="22" spans="1:6" x14ac:dyDescent="0.55000000000000004">
      <c r="A22" s="11" t="s">
        <v>13</v>
      </c>
      <c r="B22" s="11">
        <f>(B20+1)/2</f>
        <v>37.5</v>
      </c>
    </row>
    <row r="23" spans="1:6" x14ac:dyDescent="0.55000000000000004">
      <c r="A23" s="12" t="s">
        <v>14</v>
      </c>
      <c r="B23" s="10">
        <f>D20/B20</f>
        <v>2716.2162162162163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opLeftCell="A3" workbookViewId="0">
      <selection activeCell="L12" sqref="L12"/>
    </sheetView>
  </sheetViews>
  <sheetFormatPr defaultRowHeight="12.5" x14ac:dyDescent="0.25"/>
  <cols>
    <col min="1" max="3" width="8.7265625" style="18"/>
    <col min="4" max="4" width="12.26953125" style="18" bestFit="1" customWidth="1"/>
    <col min="5" max="6" width="8.7265625" style="18"/>
    <col min="7" max="7" width="9.453125" style="18" customWidth="1"/>
    <col min="8" max="8" width="11.453125" style="18" customWidth="1"/>
    <col min="9" max="259" width="8.7265625" style="18"/>
    <col min="260" max="260" width="12.26953125" style="18" bestFit="1" customWidth="1"/>
    <col min="261" max="262" width="8.7265625" style="18"/>
    <col min="263" max="263" width="9.453125" style="18" customWidth="1"/>
    <col min="264" max="264" width="11.453125" style="18" customWidth="1"/>
    <col min="265" max="515" width="8.7265625" style="18"/>
    <col min="516" max="516" width="12.26953125" style="18" bestFit="1" customWidth="1"/>
    <col min="517" max="518" width="8.7265625" style="18"/>
    <col min="519" max="519" width="9.453125" style="18" customWidth="1"/>
    <col min="520" max="520" width="11.453125" style="18" customWidth="1"/>
    <col min="521" max="771" width="8.7265625" style="18"/>
    <col min="772" max="772" width="12.26953125" style="18" bestFit="1" customWidth="1"/>
    <col min="773" max="774" width="8.7265625" style="18"/>
    <col min="775" max="775" width="9.453125" style="18" customWidth="1"/>
    <col min="776" max="776" width="11.453125" style="18" customWidth="1"/>
    <col min="777" max="1027" width="8.7265625" style="18"/>
    <col min="1028" max="1028" width="12.26953125" style="18" bestFit="1" customWidth="1"/>
    <col min="1029" max="1030" width="8.7265625" style="18"/>
    <col min="1031" max="1031" width="9.453125" style="18" customWidth="1"/>
    <col min="1032" max="1032" width="11.453125" style="18" customWidth="1"/>
    <col min="1033" max="1283" width="8.7265625" style="18"/>
    <col min="1284" max="1284" width="12.26953125" style="18" bestFit="1" customWidth="1"/>
    <col min="1285" max="1286" width="8.7265625" style="18"/>
    <col min="1287" max="1287" width="9.453125" style="18" customWidth="1"/>
    <col min="1288" max="1288" width="11.453125" style="18" customWidth="1"/>
    <col min="1289" max="1539" width="8.7265625" style="18"/>
    <col min="1540" max="1540" width="12.26953125" style="18" bestFit="1" customWidth="1"/>
    <col min="1541" max="1542" width="8.7265625" style="18"/>
    <col min="1543" max="1543" width="9.453125" style="18" customWidth="1"/>
    <col min="1544" max="1544" width="11.453125" style="18" customWidth="1"/>
    <col min="1545" max="1795" width="8.7265625" style="18"/>
    <col min="1796" max="1796" width="12.26953125" style="18" bestFit="1" customWidth="1"/>
    <col min="1797" max="1798" width="8.7265625" style="18"/>
    <col min="1799" max="1799" width="9.453125" style="18" customWidth="1"/>
    <col min="1800" max="1800" width="11.453125" style="18" customWidth="1"/>
    <col min="1801" max="2051" width="8.7265625" style="18"/>
    <col min="2052" max="2052" width="12.26953125" style="18" bestFit="1" customWidth="1"/>
    <col min="2053" max="2054" width="8.7265625" style="18"/>
    <col min="2055" max="2055" width="9.453125" style="18" customWidth="1"/>
    <col min="2056" max="2056" width="11.453125" style="18" customWidth="1"/>
    <col min="2057" max="2307" width="8.7265625" style="18"/>
    <col min="2308" max="2308" width="12.26953125" style="18" bestFit="1" customWidth="1"/>
    <col min="2309" max="2310" width="8.7265625" style="18"/>
    <col min="2311" max="2311" width="9.453125" style="18" customWidth="1"/>
    <col min="2312" max="2312" width="11.453125" style="18" customWidth="1"/>
    <col min="2313" max="2563" width="8.7265625" style="18"/>
    <col min="2564" max="2564" width="12.26953125" style="18" bestFit="1" customWidth="1"/>
    <col min="2565" max="2566" width="8.7265625" style="18"/>
    <col min="2567" max="2567" width="9.453125" style="18" customWidth="1"/>
    <col min="2568" max="2568" width="11.453125" style="18" customWidth="1"/>
    <col min="2569" max="2819" width="8.7265625" style="18"/>
    <col min="2820" max="2820" width="12.26953125" style="18" bestFit="1" customWidth="1"/>
    <col min="2821" max="2822" width="8.7265625" style="18"/>
    <col min="2823" max="2823" width="9.453125" style="18" customWidth="1"/>
    <col min="2824" max="2824" width="11.453125" style="18" customWidth="1"/>
    <col min="2825" max="3075" width="8.7265625" style="18"/>
    <col min="3076" max="3076" width="12.26953125" style="18" bestFit="1" customWidth="1"/>
    <col min="3077" max="3078" width="8.7265625" style="18"/>
    <col min="3079" max="3079" width="9.453125" style="18" customWidth="1"/>
    <col min="3080" max="3080" width="11.453125" style="18" customWidth="1"/>
    <col min="3081" max="3331" width="8.7265625" style="18"/>
    <col min="3332" max="3332" width="12.26953125" style="18" bestFit="1" customWidth="1"/>
    <col min="3333" max="3334" width="8.7265625" style="18"/>
    <col min="3335" max="3335" width="9.453125" style="18" customWidth="1"/>
    <col min="3336" max="3336" width="11.453125" style="18" customWidth="1"/>
    <col min="3337" max="3587" width="8.7265625" style="18"/>
    <col min="3588" max="3588" width="12.26953125" style="18" bestFit="1" customWidth="1"/>
    <col min="3589" max="3590" width="8.7265625" style="18"/>
    <col min="3591" max="3591" width="9.453125" style="18" customWidth="1"/>
    <col min="3592" max="3592" width="11.453125" style="18" customWidth="1"/>
    <col min="3593" max="3843" width="8.7265625" style="18"/>
    <col min="3844" max="3844" width="12.26953125" style="18" bestFit="1" customWidth="1"/>
    <col min="3845" max="3846" width="8.7265625" style="18"/>
    <col min="3847" max="3847" width="9.453125" style="18" customWidth="1"/>
    <col min="3848" max="3848" width="11.453125" style="18" customWidth="1"/>
    <col min="3849" max="4099" width="8.7265625" style="18"/>
    <col min="4100" max="4100" width="12.26953125" style="18" bestFit="1" customWidth="1"/>
    <col min="4101" max="4102" width="8.7265625" style="18"/>
    <col min="4103" max="4103" width="9.453125" style="18" customWidth="1"/>
    <col min="4104" max="4104" width="11.453125" style="18" customWidth="1"/>
    <col min="4105" max="4355" width="8.7265625" style="18"/>
    <col min="4356" max="4356" width="12.26953125" style="18" bestFit="1" customWidth="1"/>
    <col min="4357" max="4358" width="8.7265625" style="18"/>
    <col min="4359" max="4359" width="9.453125" style="18" customWidth="1"/>
    <col min="4360" max="4360" width="11.453125" style="18" customWidth="1"/>
    <col min="4361" max="4611" width="8.7265625" style="18"/>
    <col min="4612" max="4612" width="12.26953125" style="18" bestFit="1" customWidth="1"/>
    <col min="4613" max="4614" width="8.7265625" style="18"/>
    <col min="4615" max="4615" width="9.453125" style="18" customWidth="1"/>
    <col min="4616" max="4616" width="11.453125" style="18" customWidth="1"/>
    <col min="4617" max="4867" width="8.7265625" style="18"/>
    <col min="4868" max="4868" width="12.26953125" style="18" bestFit="1" customWidth="1"/>
    <col min="4869" max="4870" width="8.7265625" style="18"/>
    <col min="4871" max="4871" width="9.453125" style="18" customWidth="1"/>
    <col min="4872" max="4872" width="11.453125" style="18" customWidth="1"/>
    <col min="4873" max="5123" width="8.7265625" style="18"/>
    <col min="5124" max="5124" width="12.26953125" style="18" bestFit="1" customWidth="1"/>
    <col min="5125" max="5126" width="8.7265625" style="18"/>
    <col min="5127" max="5127" width="9.453125" style="18" customWidth="1"/>
    <col min="5128" max="5128" width="11.453125" style="18" customWidth="1"/>
    <col min="5129" max="5379" width="8.7265625" style="18"/>
    <col min="5380" max="5380" width="12.26953125" style="18" bestFit="1" customWidth="1"/>
    <col min="5381" max="5382" width="8.7265625" style="18"/>
    <col min="5383" max="5383" width="9.453125" style="18" customWidth="1"/>
    <col min="5384" max="5384" width="11.453125" style="18" customWidth="1"/>
    <col min="5385" max="5635" width="8.7265625" style="18"/>
    <col min="5636" max="5636" width="12.26953125" style="18" bestFit="1" customWidth="1"/>
    <col min="5637" max="5638" width="8.7265625" style="18"/>
    <col min="5639" max="5639" width="9.453125" style="18" customWidth="1"/>
    <col min="5640" max="5640" width="11.453125" style="18" customWidth="1"/>
    <col min="5641" max="5891" width="8.7265625" style="18"/>
    <col min="5892" max="5892" width="12.26953125" style="18" bestFit="1" customWidth="1"/>
    <col min="5893" max="5894" width="8.7265625" style="18"/>
    <col min="5895" max="5895" width="9.453125" style="18" customWidth="1"/>
    <col min="5896" max="5896" width="11.453125" style="18" customWidth="1"/>
    <col min="5897" max="6147" width="8.7265625" style="18"/>
    <col min="6148" max="6148" width="12.26953125" style="18" bestFit="1" customWidth="1"/>
    <col min="6149" max="6150" width="8.7265625" style="18"/>
    <col min="6151" max="6151" width="9.453125" style="18" customWidth="1"/>
    <col min="6152" max="6152" width="11.453125" style="18" customWidth="1"/>
    <col min="6153" max="6403" width="8.7265625" style="18"/>
    <col min="6404" max="6404" width="12.26953125" style="18" bestFit="1" customWidth="1"/>
    <col min="6405" max="6406" width="8.7265625" style="18"/>
    <col min="6407" max="6407" width="9.453125" style="18" customWidth="1"/>
    <col min="6408" max="6408" width="11.453125" style="18" customWidth="1"/>
    <col min="6409" max="6659" width="8.7265625" style="18"/>
    <col min="6660" max="6660" width="12.26953125" style="18" bestFit="1" customWidth="1"/>
    <col min="6661" max="6662" width="8.7265625" style="18"/>
    <col min="6663" max="6663" width="9.453125" style="18" customWidth="1"/>
    <col min="6664" max="6664" width="11.453125" style="18" customWidth="1"/>
    <col min="6665" max="6915" width="8.7265625" style="18"/>
    <col min="6916" max="6916" width="12.26953125" style="18" bestFit="1" customWidth="1"/>
    <col min="6917" max="6918" width="8.7265625" style="18"/>
    <col min="6919" max="6919" width="9.453125" style="18" customWidth="1"/>
    <col min="6920" max="6920" width="11.453125" style="18" customWidth="1"/>
    <col min="6921" max="7171" width="8.7265625" style="18"/>
    <col min="7172" max="7172" width="12.26953125" style="18" bestFit="1" customWidth="1"/>
    <col min="7173" max="7174" width="8.7265625" style="18"/>
    <col min="7175" max="7175" width="9.453125" style="18" customWidth="1"/>
    <col min="7176" max="7176" width="11.453125" style="18" customWidth="1"/>
    <col min="7177" max="7427" width="8.7265625" style="18"/>
    <col min="7428" max="7428" width="12.26953125" style="18" bestFit="1" customWidth="1"/>
    <col min="7429" max="7430" width="8.7265625" style="18"/>
    <col min="7431" max="7431" width="9.453125" style="18" customWidth="1"/>
    <col min="7432" max="7432" width="11.453125" style="18" customWidth="1"/>
    <col min="7433" max="7683" width="8.7265625" style="18"/>
    <col min="7684" max="7684" width="12.26953125" style="18" bestFit="1" customWidth="1"/>
    <col min="7685" max="7686" width="8.7265625" style="18"/>
    <col min="7687" max="7687" width="9.453125" style="18" customWidth="1"/>
    <col min="7688" max="7688" width="11.453125" style="18" customWidth="1"/>
    <col min="7689" max="7939" width="8.7265625" style="18"/>
    <col min="7940" max="7940" width="12.26953125" style="18" bestFit="1" customWidth="1"/>
    <col min="7941" max="7942" width="8.7265625" style="18"/>
    <col min="7943" max="7943" width="9.453125" style="18" customWidth="1"/>
    <col min="7944" max="7944" width="11.453125" style="18" customWidth="1"/>
    <col min="7945" max="8195" width="8.7265625" style="18"/>
    <col min="8196" max="8196" width="12.26953125" style="18" bestFit="1" customWidth="1"/>
    <col min="8197" max="8198" width="8.7265625" style="18"/>
    <col min="8199" max="8199" width="9.453125" style="18" customWidth="1"/>
    <col min="8200" max="8200" width="11.453125" style="18" customWidth="1"/>
    <col min="8201" max="8451" width="8.7265625" style="18"/>
    <col min="8452" max="8452" width="12.26953125" style="18" bestFit="1" customWidth="1"/>
    <col min="8453" max="8454" width="8.7265625" style="18"/>
    <col min="8455" max="8455" width="9.453125" style="18" customWidth="1"/>
    <col min="8456" max="8456" width="11.453125" style="18" customWidth="1"/>
    <col min="8457" max="8707" width="8.7265625" style="18"/>
    <col min="8708" max="8708" width="12.26953125" style="18" bestFit="1" customWidth="1"/>
    <col min="8709" max="8710" width="8.7265625" style="18"/>
    <col min="8711" max="8711" width="9.453125" style="18" customWidth="1"/>
    <col min="8712" max="8712" width="11.453125" style="18" customWidth="1"/>
    <col min="8713" max="8963" width="8.7265625" style="18"/>
    <col min="8964" max="8964" width="12.26953125" style="18" bestFit="1" customWidth="1"/>
    <col min="8965" max="8966" width="8.7265625" style="18"/>
    <col min="8967" max="8967" width="9.453125" style="18" customWidth="1"/>
    <col min="8968" max="8968" width="11.453125" style="18" customWidth="1"/>
    <col min="8969" max="9219" width="8.7265625" style="18"/>
    <col min="9220" max="9220" width="12.26953125" style="18" bestFit="1" customWidth="1"/>
    <col min="9221" max="9222" width="8.7265625" style="18"/>
    <col min="9223" max="9223" width="9.453125" style="18" customWidth="1"/>
    <col min="9224" max="9224" width="11.453125" style="18" customWidth="1"/>
    <col min="9225" max="9475" width="8.7265625" style="18"/>
    <col min="9476" max="9476" width="12.26953125" style="18" bestFit="1" customWidth="1"/>
    <col min="9477" max="9478" width="8.7265625" style="18"/>
    <col min="9479" max="9479" width="9.453125" style="18" customWidth="1"/>
    <col min="9480" max="9480" width="11.453125" style="18" customWidth="1"/>
    <col min="9481" max="9731" width="8.7265625" style="18"/>
    <col min="9732" max="9732" width="12.26953125" style="18" bestFit="1" customWidth="1"/>
    <col min="9733" max="9734" width="8.7265625" style="18"/>
    <col min="9735" max="9735" width="9.453125" style="18" customWidth="1"/>
    <col min="9736" max="9736" width="11.453125" style="18" customWidth="1"/>
    <col min="9737" max="9987" width="8.7265625" style="18"/>
    <col min="9988" max="9988" width="12.26953125" style="18" bestFit="1" customWidth="1"/>
    <col min="9989" max="9990" width="8.7265625" style="18"/>
    <col min="9991" max="9991" width="9.453125" style="18" customWidth="1"/>
    <col min="9992" max="9992" width="11.453125" style="18" customWidth="1"/>
    <col min="9993" max="10243" width="8.7265625" style="18"/>
    <col min="10244" max="10244" width="12.26953125" style="18" bestFit="1" customWidth="1"/>
    <col min="10245" max="10246" width="8.7265625" style="18"/>
    <col min="10247" max="10247" width="9.453125" style="18" customWidth="1"/>
    <col min="10248" max="10248" width="11.453125" style="18" customWidth="1"/>
    <col min="10249" max="10499" width="8.7265625" style="18"/>
    <col min="10500" max="10500" width="12.26953125" style="18" bestFit="1" customWidth="1"/>
    <col min="10501" max="10502" width="8.7265625" style="18"/>
    <col min="10503" max="10503" width="9.453125" style="18" customWidth="1"/>
    <col min="10504" max="10504" width="11.453125" style="18" customWidth="1"/>
    <col min="10505" max="10755" width="8.7265625" style="18"/>
    <col min="10756" max="10756" width="12.26953125" style="18" bestFit="1" customWidth="1"/>
    <col min="10757" max="10758" width="8.7265625" style="18"/>
    <col min="10759" max="10759" width="9.453125" style="18" customWidth="1"/>
    <col min="10760" max="10760" width="11.453125" style="18" customWidth="1"/>
    <col min="10761" max="11011" width="8.7265625" style="18"/>
    <col min="11012" max="11012" width="12.26953125" style="18" bestFit="1" customWidth="1"/>
    <col min="11013" max="11014" width="8.7265625" style="18"/>
    <col min="11015" max="11015" width="9.453125" style="18" customWidth="1"/>
    <col min="11016" max="11016" width="11.453125" style="18" customWidth="1"/>
    <col min="11017" max="11267" width="8.7265625" style="18"/>
    <col min="11268" max="11268" width="12.26953125" style="18" bestFit="1" customWidth="1"/>
    <col min="11269" max="11270" width="8.7265625" style="18"/>
    <col min="11271" max="11271" width="9.453125" style="18" customWidth="1"/>
    <col min="11272" max="11272" width="11.453125" style="18" customWidth="1"/>
    <col min="11273" max="11523" width="8.7265625" style="18"/>
    <col min="11524" max="11524" width="12.26953125" style="18" bestFit="1" customWidth="1"/>
    <col min="11525" max="11526" width="8.7265625" style="18"/>
    <col min="11527" max="11527" width="9.453125" style="18" customWidth="1"/>
    <col min="11528" max="11528" width="11.453125" style="18" customWidth="1"/>
    <col min="11529" max="11779" width="8.7265625" style="18"/>
    <col min="11780" max="11780" width="12.26953125" style="18" bestFit="1" customWidth="1"/>
    <col min="11781" max="11782" width="8.7265625" style="18"/>
    <col min="11783" max="11783" width="9.453125" style="18" customWidth="1"/>
    <col min="11784" max="11784" width="11.453125" style="18" customWidth="1"/>
    <col min="11785" max="12035" width="8.7265625" style="18"/>
    <col min="12036" max="12036" width="12.26953125" style="18" bestFit="1" customWidth="1"/>
    <col min="12037" max="12038" width="8.7265625" style="18"/>
    <col min="12039" max="12039" width="9.453125" style="18" customWidth="1"/>
    <col min="12040" max="12040" width="11.453125" style="18" customWidth="1"/>
    <col min="12041" max="12291" width="8.7265625" style="18"/>
    <col min="12292" max="12292" width="12.26953125" style="18" bestFit="1" customWidth="1"/>
    <col min="12293" max="12294" width="8.7265625" style="18"/>
    <col min="12295" max="12295" width="9.453125" style="18" customWidth="1"/>
    <col min="12296" max="12296" width="11.453125" style="18" customWidth="1"/>
    <col min="12297" max="12547" width="8.7265625" style="18"/>
    <col min="12548" max="12548" width="12.26953125" style="18" bestFit="1" customWidth="1"/>
    <col min="12549" max="12550" width="8.7265625" style="18"/>
    <col min="12551" max="12551" width="9.453125" style="18" customWidth="1"/>
    <col min="12552" max="12552" width="11.453125" style="18" customWidth="1"/>
    <col min="12553" max="12803" width="8.7265625" style="18"/>
    <col min="12804" max="12804" width="12.26953125" style="18" bestFit="1" customWidth="1"/>
    <col min="12805" max="12806" width="8.7265625" style="18"/>
    <col min="12807" max="12807" width="9.453125" style="18" customWidth="1"/>
    <col min="12808" max="12808" width="11.453125" style="18" customWidth="1"/>
    <col min="12809" max="13059" width="8.7265625" style="18"/>
    <col min="13060" max="13060" width="12.26953125" style="18" bestFit="1" customWidth="1"/>
    <col min="13061" max="13062" width="8.7265625" style="18"/>
    <col min="13063" max="13063" width="9.453125" style="18" customWidth="1"/>
    <col min="13064" max="13064" width="11.453125" style="18" customWidth="1"/>
    <col min="13065" max="13315" width="8.7265625" style="18"/>
    <col min="13316" max="13316" width="12.26953125" style="18" bestFit="1" customWidth="1"/>
    <col min="13317" max="13318" width="8.7265625" style="18"/>
    <col min="13319" max="13319" width="9.453125" style="18" customWidth="1"/>
    <col min="13320" max="13320" width="11.453125" style="18" customWidth="1"/>
    <col min="13321" max="13571" width="8.7265625" style="18"/>
    <col min="13572" max="13572" width="12.26953125" style="18" bestFit="1" customWidth="1"/>
    <col min="13573" max="13574" width="8.7265625" style="18"/>
    <col min="13575" max="13575" width="9.453125" style="18" customWidth="1"/>
    <col min="13576" max="13576" width="11.453125" style="18" customWidth="1"/>
    <col min="13577" max="13827" width="8.7265625" style="18"/>
    <col min="13828" max="13828" width="12.26953125" style="18" bestFit="1" customWidth="1"/>
    <col min="13829" max="13830" width="8.7265625" style="18"/>
    <col min="13831" max="13831" width="9.453125" style="18" customWidth="1"/>
    <col min="13832" max="13832" width="11.453125" style="18" customWidth="1"/>
    <col min="13833" max="14083" width="8.7265625" style="18"/>
    <col min="14084" max="14084" width="12.26953125" style="18" bestFit="1" customWidth="1"/>
    <col min="14085" max="14086" width="8.7265625" style="18"/>
    <col min="14087" max="14087" width="9.453125" style="18" customWidth="1"/>
    <col min="14088" max="14088" width="11.453125" style="18" customWidth="1"/>
    <col min="14089" max="14339" width="8.7265625" style="18"/>
    <col min="14340" max="14340" width="12.26953125" style="18" bestFit="1" customWidth="1"/>
    <col min="14341" max="14342" width="8.7265625" style="18"/>
    <col min="14343" max="14343" width="9.453125" style="18" customWidth="1"/>
    <col min="14344" max="14344" width="11.453125" style="18" customWidth="1"/>
    <col min="14345" max="14595" width="8.7265625" style="18"/>
    <col min="14596" max="14596" width="12.26953125" style="18" bestFit="1" customWidth="1"/>
    <col min="14597" max="14598" width="8.7265625" style="18"/>
    <col min="14599" max="14599" width="9.453125" style="18" customWidth="1"/>
    <col min="14600" max="14600" width="11.453125" style="18" customWidth="1"/>
    <col min="14601" max="14851" width="8.7265625" style="18"/>
    <col min="14852" max="14852" width="12.26953125" style="18" bestFit="1" customWidth="1"/>
    <col min="14853" max="14854" width="8.7265625" style="18"/>
    <col min="14855" max="14855" width="9.453125" style="18" customWidth="1"/>
    <col min="14856" max="14856" width="11.453125" style="18" customWidth="1"/>
    <col min="14857" max="15107" width="8.7265625" style="18"/>
    <col min="15108" max="15108" width="12.26953125" style="18" bestFit="1" customWidth="1"/>
    <col min="15109" max="15110" width="8.7265625" style="18"/>
    <col min="15111" max="15111" width="9.453125" style="18" customWidth="1"/>
    <col min="15112" max="15112" width="11.453125" style="18" customWidth="1"/>
    <col min="15113" max="15363" width="8.7265625" style="18"/>
    <col min="15364" max="15364" width="12.26953125" style="18" bestFit="1" customWidth="1"/>
    <col min="15365" max="15366" width="8.7265625" style="18"/>
    <col min="15367" max="15367" width="9.453125" style="18" customWidth="1"/>
    <col min="15368" max="15368" width="11.453125" style="18" customWidth="1"/>
    <col min="15369" max="15619" width="8.7265625" style="18"/>
    <col min="15620" max="15620" width="12.26953125" style="18" bestFit="1" customWidth="1"/>
    <col min="15621" max="15622" width="8.7265625" style="18"/>
    <col min="15623" max="15623" width="9.453125" style="18" customWidth="1"/>
    <col min="15624" max="15624" width="11.453125" style="18" customWidth="1"/>
    <col min="15625" max="15875" width="8.7265625" style="18"/>
    <col min="15876" max="15876" width="12.26953125" style="18" bestFit="1" customWidth="1"/>
    <col min="15877" max="15878" width="8.7265625" style="18"/>
    <col min="15879" max="15879" width="9.453125" style="18" customWidth="1"/>
    <col min="15880" max="15880" width="11.453125" style="18" customWidth="1"/>
    <col min="15881" max="16131" width="8.7265625" style="18"/>
    <col min="16132" max="16132" width="12.26953125" style="18" bestFit="1" customWidth="1"/>
    <col min="16133" max="16134" width="8.7265625" style="18"/>
    <col min="16135" max="16135" width="9.453125" style="18" customWidth="1"/>
    <col min="16136" max="16136" width="11.453125" style="18" customWidth="1"/>
    <col min="16137" max="16384" width="8.7265625" style="18"/>
  </cols>
  <sheetData>
    <row r="1" spans="1:15" ht="18" x14ac:dyDescent="0.4">
      <c r="A1" s="16"/>
      <c r="B1" s="17"/>
      <c r="C1" s="17"/>
      <c r="E1" s="17"/>
      <c r="F1" s="17" t="s">
        <v>18</v>
      </c>
      <c r="G1" s="17"/>
      <c r="H1" s="17"/>
      <c r="I1" s="16"/>
      <c r="N1" s="19"/>
      <c r="O1" s="19"/>
    </row>
    <row r="2" spans="1:15" ht="18" x14ac:dyDescent="0.4">
      <c r="A2" s="16"/>
      <c r="B2" s="17"/>
      <c r="C2" s="17"/>
      <c r="E2" s="17"/>
      <c r="F2" s="17"/>
      <c r="G2" s="17"/>
      <c r="H2" s="17"/>
      <c r="I2" s="16"/>
      <c r="N2" s="19"/>
      <c r="O2" s="19"/>
    </row>
    <row r="3" spans="1:15" ht="18" x14ac:dyDescent="0.4">
      <c r="A3" s="16"/>
      <c r="B3" s="17"/>
      <c r="C3" s="17"/>
      <c r="D3" s="17" t="s">
        <v>19</v>
      </c>
      <c r="E3" s="17"/>
      <c r="F3" s="17"/>
      <c r="G3" s="17"/>
      <c r="I3" s="17"/>
      <c r="J3" s="17" t="s">
        <v>20</v>
      </c>
      <c r="N3" s="19"/>
      <c r="O3" s="19"/>
    </row>
    <row r="4" spans="1:15" ht="18" x14ac:dyDescent="0.4">
      <c r="A4" s="16"/>
      <c r="B4" s="17"/>
      <c r="C4" s="17"/>
      <c r="D4" s="17"/>
      <c r="E4" s="17"/>
      <c r="F4" s="17"/>
      <c r="G4" s="17"/>
      <c r="I4" s="17"/>
      <c r="N4" s="19"/>
      <c r="O4" s="19"/>
    </row>
    <row r="5" spans="1:15" ht="18" x14ac:dyDescent="0.4">
      <c r="A5" s="16"/>
      <c r="B5" s="17"/>
      <c r="C5" s="17"/>
      <c r="D5" s="42" t="s">
        <v>26</v>
      </c>
      <c r="E5" s="43" t="s">
        <v>27</v>
      </c>
      <c r="F5" s="17"/>
      <c r="G5" s="17"/>
      <c r="I5" s="16"/>
      <c r="J5" s="20" t="str">
        <f>D5</f>
        <v>Sottopeso</v>
      </c>
      <c r="K5" s="20" t="str">
        <f>E5</f>
        <v>Normopeso</v>
      </c>
      <c r="N5" s="19"/>
      <c r="O5" s="19"/>
    </row>
    <row r="6" spans="1:15" ht="18" x14ac:dyDescent="0.4">
      <c r="B6" s="22" t="s">
        <v>63</v>
      </c>
      <c r="C6" s="23"/>
      <c r="D6" s="24">
        <v>30</v>
      </c>
      <c r="E6" s="25">
        <f>F6-D6</f>
        <v>44</v>
      </c>
      <c r="F6" s="26">
        <v>74</v>
      </c>
      <c r="G6" s="17"/>
      <c r="H6" s="27" t="str">
        <f>B6</f>
        <v>Madre fuma</v>
      </c>
      <c r="I6" s="28"/>
      <c r="J6" s="29">
        <f>F6*D8/F8</f>
        <v>23.100529100529101</v>
      </c>
      <c r="K6" s="30">
        <f>F6*E8/F8</f>
        <v>50.899470899470899</v>
      </c>
      <c r="N6" s="19"/>
      <c r="O6" s="19"/>
    </row>
    <row r="7" spans="1:15" ht="18" x14ac:dyDescent="0.4">
      <c r="B7" s="22" t="s">
        <v>64</v>
      </c>
      <c r="C7" s="31"/>
      <c r="D7" s="24">
        <v>29</v>
      </c>
      <c r="E7" s="25">
        <f>F7-D7</f>
        <v>86</v>
      </c>
      <c r="F7" s="26">
        <v>115</v>
      </c>
      <c r="G7" s="17"/>
      <c r="H7" s="27" t="str">
        <f>B7</f>
        <v>Madre non-fumatrice</v>
      </c>
      <c r="I7" s="32"/>
      <c r="J7" s="33">
        <f>F7*D8/F8</f>
        <v>35.899470899470899</v>
      </c>
      <c r="K7" s="34">
        <f>F7*E8/F8</f>
        <v>79.100529100529101</v>
      </c>
      <c r="N7" s="19"/>
      <c r="O7" s="19"/>
    </row>
    <row r="8" spans="1:15" ht="18" x14ac:dyDescent="0.4">
      <c r="A8" s="16"/>
      <c r="B8" s="17"/>
      <c r="C8" s="17"/>
      <c r="D8" s="20">
        <f>D6+D7</f>
        <v>59</v>
      </c>
      <c r="E8" s="21">
        <f>E6+E7</f>
        <v>130</v>
      </c>
      <c r="F8" s="35">
        <f>F6+F7</f>
        <v>189</v>
      </c>
      <c r="G8" s="17"/>
      <c r="H8" s="16"/>
      <c r="N8" s="19"/>
      <c r="O8" s="19"/>
    </row>
    <row r="9" spans="1:15" ht="18" x14ac:dyDescent="0.4">
      <c r="A9" s="16"/>
      <c r="B9" s="17"/>
      <c r="C9" s="17"/>
      <c r="D9" s="17"/>
      <c r="E9" s="17"/>
      <c r="F9" s="17"/>
      <c r="G9" s="17"/>
      <c r="H9" s="16"/>
      <c r="I9" s="16"/>
      <c r="J9" s="17"/>
      <c r="N9" s="19"/>
      <c r="O9" s="19"/>
    </row>
    <row r="10" spans="1:15" ht="18" x14ac:dyDescent="0.4">
      <c r="A10" s="36" t="str">
        <f>CONCATENATE("p ( ",D5," ) =")</f>
        <v>p ( Sottopeso ) =</v>
      </c>
      <c r="B10" s="36"/>
      <c r="D10" s="37">
        <f>D8/F8</f>
        <v>0.31216931216931215</v>
      </c>
      <c r="E10" s="17"/>
      <c r="F10" s="27" t="s">
        <v>21</v>
      </c>
      <c r="H10" s="38">
        <v>2</v>
      </c>
      <c r="J10" s="84" t="s">
        <v>65</v>
      </c>
      <c r="K10" s="85"/>
      <c r="L10" s="84">
        <v>0.05</v>
      </c>
      <c r="M10" s="19"/>
      <c r="N10" s="19"/>
    </row>
    <row r="11" spans="1:15" ht="18" x14ac:dyDescent="0.4">
      <c r="A11" s="36" t="str">
        <f>CONCATENATE("p ( ",D5," / ",B6," ) =")</f>
        <v>p ( Sottopeso / Madre fuma ) =</v>
      </c>
      <c r="B11" s="36"/>
      <c r="D11" s="37">
        <f>D6/F6</f>
        <v>0.40540540540540543</v>
      </c>
      <c r="E11" s="17"/>
      <c r="F11" s="27" t="s">
        <v>22</v>
      </c>
      <c r="H11" s="38">
        <v>2</v>
      </c>
      <c r="J11" s="84" t="s">
        <v>66</v>
      </c>
      <c r="K11"/>
      <c r="L11" s="85">
        <f>CHIINV(L10,H12)</f>
        <v>3.8414588206941236</v>
      </c>
      <c r="N11" s="19"/>
      <c r="O11" s="19"/>
    </row>
    <row r="12" spans="1:15" ht="18" x14ac:dyDescent="0.4">
      <c r="A12" s="36" t="str">
        <f>CONCATENATE("p ( ",D5," / ",B7," ) =")</f>
        <v>p ( Sottopeso / Madre non-fumatrice ) =</v>
      </c>
      <c r="B12" s="36"/>
      <c r="D12" s="37">
        <f>D7/F7</f>
        <v>0.25217391304347825</v>
      </c>
      <c r="E12" s="17"/>
      <c r="F12" s="27" t="s">
        <v>23</v>
      </c>
      <c r="H12" s="39">
        <f>(H10-1)*(H11-1)</f>
        <v>1</v>
      </c>
      <c r="I12" s="16"/>
      <c r="N12" s="19"/>
      <c r="O12" s="19"/>
    </row>
    <row r="13" spans="1:15" ht="18" x14ac:dyDescent="0.4">
      <c r="B13" s="17"/>
      <c r="D13" s="17"/>
      <c r="F13" s="27" t="s">
        <v>24</v>
      </c>
      <c r="H13" s="40">
        <f>CHIINV(H14,H12)</f>
        <v>4.9237054343612909</v>
      </c>
      <c r="I13" s="17"/>
      <c r="N13" s="19"/>
      <c r="O13" s="19"/>
    </row>
    <row r="14" spans="1:15" ht="18" x14ac:dyDescent="0.4">
      <c r="F14" s="17" t="s">
        <v>25</v>
      </c>
      <c r="H14" s="41">
        <f>CHITEST(D6:E7,J6:K7)</f>
        <v>2.6490642530502418E-2</v>
      </c>
      <c r="N14" s="19"/>
      <c r="O14" s="19"/>
    </row>
    <row r="15" spans="1:15" x14ac:dyDescent="0.25">
      <c r="N15" s="19"/>
      <c r="O15" s="19"/>
    </row>
    <row r="16" spans="1:15" x14ac:dyDescent="0.25">
      <c r="N16" s="19"/>
      <c r="O16" s="19"/>
    </row>
    <row r="17" spans="14:15" x14ac:dyDescent="0.25">
      <c r="N17" s="19"/>
      <c r="O17" s="19"/>
    </row>
    <row r="18" spans="14:15" x14ac:dyDescent="0.25">
      <c r="N18" s="19"/>
      <c r="O18" s="19"/>
    </row>
    <row r="19" spans="14:15" x14ac:dyDescent="0.25">
      <c r="N19" s="19"/>
      <c r="O19" s="19"/>
    </row>
    <row r="20" spans="14:15" x14ac:dyDescent="0.25">
      <c r="N20" s="19"/>
      <c r="O20" s="19"/>
    </row>
    <row r="21" spans="14:15" x14ac:dyDescent="0.25">
      <c r="N21" s="19"/>
      <c r="O21" s="19"/>
    </row>
    <row r="22" spans="14:15" x14ac:dyDescent="0.25">
      <c r="N22" s="19"/>
      <c r="O22" s="19"/>
    </row>
    <row r="23" spans="14:15" x14ac:dyDescent="0.25">
      <c r="N23" s="19"/>
      <c r="O23" s="19"/>
    </row>
    <row r="24" spans="14:15" x14ac:dyDescent="0.25">
      <c r="N24" s="19"/>
      <c r="O24" s="19"/>
    </row>
    <row r="25" spans="14:15" x14ac:dyDescent="0.25">
      <c r="N25" s="19"/>
      <c r="O25" s="19"/>
    </row>
    <row r="26" spans="14:15" x14ac:dyDescent="0.25">
      <c r="N26" s="19"/>
      <c r="O26" s="19"/>
    </row>
    <row r="27" spans="14:15" x14ac:dyDescent="0.25">
      <c r="N27" s="19"/>
      <c r="O27" s="19"/>
    </row>
    <row r="28" spans="14:15" x14ac:dyDescent="0.25">
      <c r="N28" s="19"/>
      <c r="O28" s="19"/>
    </row>
  </sheetData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8"/>
  <sheetViews>
    <sheetView workbookViewId="0">
      <selection activeCell="M14" sqref="M14"/>
    </sheetView>
  </sheetViews>
  <sheetFormatPr defaultRowHeight="14.5" x14ac:dyDescent="0.35"/>
  <cols>
    <col min="1" max="2" width="10.6328125" customWidth="1"/>
    <col min="9" max="10" width="11.6328125" customWidth="1"/>
  </cols>
  <sheetData>
    <row r="2" spans="1:10" ht="17.5" x14ac:dyDescent="0.35">
      <c r="A2" s="98" t="s">
        <v>67</v>
      </c>
      <c r="B2" s="98" t="s">
        <v>68</v>
      </c>
      <c r="E2" s="86" t="str">
        <f>A2</f>
        <v>Ipercalcemia</v>
      </c>
      <c r="F2" s="86" t="str">
        <f>B2</f>
        <v>Ca normale</v>
      </c>
      <c r="H2" s="87"/>
      <c r="I2" s="86" t="str">
        <f>E2</f>
        <v>Ipercalcemia</v>
      </c>
      <c r="J2" s="86" t="str">
        <f>F2</f>
        <v>Ca normale</v>
      </c>
    </row>
    <row r="3" spans="1:10" ht="20" x14ac:dyDescent="0.4">
      <c r="A3" s="75">
        <v>500</v>
      </c>
      <c r="B3" s="76">
        <v>254</v>
      </c>
      <c r="D3" s="88" t="s">
        <v>9</v>
      </c>
      <c r="E3" s="87">
        <f>COUNT(A3:A99)</f>
        <v>11</v>
      </c>
      <c r="F3" s="87">
        <f>COUNT(B3:B99)</f>
        <v>10</v>
      </c>
      <c r="H3" s="89" t="s">
        <v>69</v>
      </c>
      <c r="I3" s="89">
        <f>AVERAGE(A3:A99)</f>
        <v>241.45454545454547</v>
      </c>
      <c r="J3" s="89">
        <f>AVERAGE(B3:B99)</f>
        <v>147.5</v>
      </c>
    </row>
    <row r="4" spans="1:10" ht="20" x14ac:dyDescent="0.4">
      <c r="A4" s="76">
        <v>500</v>
      </c>
      <c r="B4" s="76">
        <v>172</v>
      </c>
      <c r="D4" s="88" t="s">
        <v>70</v>
      </c>
      <c r="E4" s="90">
        <f>E3-1</f>
        <v>10</v>
      </c>
      <c r="F4" s="90">
        <f>F3-1</f>
        <v>9</v>
      </c>
      <c r="G4" s="91"/>
      <c r="H4" s="89" t="s">
        <v>71</v>
      </c>
      <c r="I4" s="92">
        <f>STDEV(A3:A99)</f>
        <v>144.45924244323285</v>
      </c>
      <c r="J4" s="92">
        <f>STDEV(B3:B99)</f>
        <v>46.171780703513413</v>
      </c>
    </row>
    <row r="5" spans="1:10" ht="20" x14ac:dyDescent="0.4">
      <c r="A5" s="76">
        <v>301</v>
      </c>
      <c r="B5" s="77">
        <v>168</v>
      </c>
      <c r="H5" s="89" t="s">
        <v>72</v>
      </c>
      <c r="I5" s="89">
        <f>MEDIAN(A3:A99)</f>
        <v>183</v>
      </c>
      <c r="J5" s="89">
        <f>MEDIAN(B3:B99)</f>
        <v>146</v>
      </c>
    </row>
    <row r="6" spans="1:10" ht="18" x14ac:dyDescent="0.4">
      <c r="A6" s="76">
        <v>272</v>
      </c>
      <c r="B6" s="77">
        <v>150</v>
      </c>
    </row>
    <row r="7" spans="1:10" ht="18" x14ac:dyDescent="0.4">
      <c r="A7" s="76">
        <v>226</v>
      </c>
      <c r="B7" s="77">
        <v>148</v>
      </c>
    </row>
    <row r="8" spans="1:10" ht="20" x14ac:dyDescent="0.4">
      <c r="A8" s="76">
        <v>183</v>
      </c>
      <c r="B8" s="77">
        <v>144</v>
      </c>
      <c r="D8" s="93"/>
      <c r="E8" s="94">
        <f>MEDIAN(A3:A12)</f>
        <v>204.5</v>
      </c>
      <c r="F8" s="94">
        <f>MEDIAN(B3:B12)</f>
        <v>146</v>
      </c>
      <c r="G8" s="91"/>
    </row>
    <row r="9" spans="1:10" ht="20" x14ac:dyDescent="0.4">
      <c r="A9" s="76">
        <v>183</v>
      </c>
      <c r="B9" s="77">
        <v>130</v>
      </c>
      <c r="D9" s="93"/>
      <c r="E9" s="91"/>
      <c r="F9" s="91"/>
      <c r="G9" s="91"/>
    </row>
    <row r="10" spans="1:10" ht="20" x14ac:dyDescent="0.4">
      <c r="A10" s="76">
        <v>177</v>
      </c>
      <c r="B10" s="77">
        <v>121</v>
      </c>
      <c r="D10" s="93"/>
      <c r="E10" s="91"/>
      <c r="F10" s="91"/>
      <c r="G10" s="91"/>
    </row>
    <row r="11" spans="1:10" ht="20" x14ac:dyDescent="0.4">
      <c r="A11" s="76">
        <v>136</v>
      </c>
      <c r="B11" s="77">
        <v>100</v>
      </c>
      <c r="D11" s="93"/>
      <c r="E11" s="91"/>
      <c r="F11" s="91"/>
      <c r="G11" s="91"/>
    </row>
    <row r="12" spans="1:10" ht="20" x14ac:dyDescent="0.4">
      <c r="A12" s="76">
        <v>118</v>
      </c>
      <c r="B12" s="77">
        <v>88</v>
      </c>
      <c r="D12" s="93"/>
      <c r="E12" s="91"/>
      <c r="F12" s="91"/>
      <c r="G12" s="91"/>
    </row>
    <row r="13" spans="1:10" ht="20" x14ac:dyDescent="0.4">
      <c r="A13" s="76">
        <v>60</v>
      </c>
      <c r="B13" s="95"/>
      <c r="D13" s="93"/>
      <c r="E13" s="91"/>
      <c r="F13" s="91"/>
      <c r="G13" s="91"/>
    </row>
    <row r="14" spans="1:10" ht="20" x14ac:dyDescent="0.4">
      <c r="A14" s="96"/>
      <c r="B14" s="96"/>
      <c r="D14" s="93"/>
      <c r="E14" s="91"/>
      <c r="F14" s="91"/>
      <c r="G14" s="91"/>
    </row>
    <row r="15" spans="1:10" ht="20" x14ac:dyDescent="0.4">
      <c r="A15" s="97"/>
      <c r="B15" s="97"/>
      <c r="D15" s="93"/>
      <c r="E15" s="91"/>
      <c r="F15" s="91"/>
      <c r="G15" s="91"/>
    </row>
    <row r="16" spans="1:10" ht="20" x14ac:dyDescent="0.4">
      <c r="A16" s="97"/>
      <c r="B16" s="97"/>
      <c r="D16" s="93"/>
      <c r="E16" s="91"/>
      <c r="F16" s="91"/>
      <c r="G16" s="91"/>
    </row>
    <row r="17" spans="1:7" ht="20" x14ac:dyDescent="0.4">
      <c r="A17" s="97"/>
      <c r="B17" s="97"/>
      <c r="D17" s="93"/>
      <c r="E17" s="91"/>
      <c r="F17" s="91"/>
      <c r="G17" s="91"/>
    </row>
    <row r="18" spans="1:7" ht="20" x14ac:dyDescent="0.4">
      <c r="A18" s="97"/>
      <c r="B18" s="97"/>
      <c r="D18" s="93"/>
      <c r="E18" s="91"/>
      <c r="F18" s="91"/>
      <c r="G18" s="9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8"/>
  <sheetViews>
    <sheetView zoomScale="75" workbookViewId="0">
      <selection activeCell="K12" sqref="K12"/>
    </sheetView>
  </sheetViews>
  <sheetFormatPr defaultRowHeight="12.5" x14ac:dyDescent="0.25"/>
  <cols>
    <col min="1" max="2" width="9.7265625" style="18" customWidth="1"/>
    <col min="3" max="3" width="7.54296875" style="18" customWidth="1"/>
    <col min="4" max="9" width="9.7265625" style="18" customWidth="1"/>
    <col min="10" max="10" width="10.7265625" style="18" customWidth="1"/>
    <col min="11" max="13" width="9.7265625" style="18" customWidth="1"/>
    <col min="14" max="14" width="10.453125" style="18" customWidth="1"/>
    <col min="15" max="256" width="8.7265625" style="18"/>
    <col min="257" max="258" width="9.7265625" style="18" customWidth="1"/>
    <col min="259" max="259" width="7.54296875" style="18" customWidth="1"/>
    <col min="260" max="265" width="9.7265625" style="18" customWidth="1"/>
    <col min="266" max="266" width="10.7265625" style="18" customWidth="1"/>
    <col min="267" max="269" width="9.7265625" style="18" customWidth="1"/>
    <col min="270" max="270" width="10.453125" style="18" customWidth="1"/>
    <col min="271" max="512" width="8.7265625" style="18"/>
    <col min="513" max="514" width="9.7265625" style="18" customWidth="1"/>
    <col min="515" max="515" width="7.54296875" style="18" customWidth="1"/>
    <col min="516" max="521" width="9.7265625" style="18" customWidth="1"/>
    <col min="522" max="522" width="10.7265625" style="18" customWidth="1"/>
    <col min="523" max="525" width="9.7265625" style="18" customWidth="1"/>
    <col min="526" max="526" width="10.453125" style="18" customWidth="1"/>
    <col min="527" max="768" width="8.7265625" style="18"/>
    <col min="769" max="770" width="9.7265625" style="18" customWidth="1"/>
    <col min="771" max="771" width="7.54296875" style="18" customWidth="1"/>
    <col min="772" max="777" width="9.7265625" style="18" customWidth="1"/>
    <col min="778" max="778" width="10.7265625" style="18" customWidth="1"/>
    <col min="779" max="781" width="9.7265625" style="18" customWidth="1"/>
    <col min="782" max="782" width="10.453125" style="18" customWidth="1"/>
    <col min="783" max="1024" width="8.7265625" style="18"/>
    <col min="1025" max="1026" width="9.7265625" style="18" customWidth="1"/>
    <col min="1027" max="1027" width="7.54296875" style="18" customWidth="1"/>
    <col min="1028" max="1033" width="9.7265625" style="18" customWidth="1"/>
    <col min="1034" max="1034" width="10.7265625" style="18" customWidth="1"/>
    <col min="1035" max="1037" width="9.7265625" style="18" customWidth="1"/>
    <col min="1038" max="1038" width="10.453125" style="18" customWidth="1"/>
    <col min="1039" max="1280" width="8.7265625" style="18"/>
    <col min="1281" max="1282" width="9.7265625" style="18" customWidth="1"/>
    <col min="1283" max="1283" width="7.54296875" style="18" customWidth="1"/>
    <col min="1284" max="1289" width="9.7265625" style="18" customWidth="1"/>
    <col min="1290" max="1290" width="10.7265625" style="18" customWidth="1"/>
    <col min="1291" max="1293" width="9.7265625" style="18" customWidth="1"/>
    <col min="1294" max="1294" width="10.453125" style="18" customWidth="1"/>
    <col min="1295" max="1536" width="8.7265625" style="18"/>
    <col min="1537" max="1538" width="9.7265625" style="18" customWidth="1"/>
    <col min="1539" max="1539" width="7.54296875" style="18" customWidth="1"/>
    <col min="1540" max="1545" width="9.7265625" style="18" customWidth="1"/>
    <col min="1546" max="1546" width="10.7265625" style="18" customWidth="1"/>
    <col min="1547" max="1549" width="9.7265625" style="18" customWidth="1"/>
    <col min="1550" max="1550" width="10.453125" style="18" customWidth="1"/>
    <col min="1551" max="1792" width="8.7265625" style="18"/>
    <col min="1793" max="1794" width="9.7265625" style="18" customWidth="1"/>
    <col min="1795" max="1795" width="7.54296875" style="18" customWidth="1"/>
    <col min="1796" max="1801" width="9.7265625" style="18" customWidth="1"/>
    <col min="1802" max="1802" width="10.7265625" style="18" customWidth="1"/>
    <col min="1803" max="1805" width="9.7265625" style="18" customWidth="1"/>
    <col min="1806" max="1806" width="10.453125" style="18" customWidth="1"/>
    <col min="1807" max="2048" width="8.7265625" style="18"/>
    <col min="2049" max="2050" width="9.7265625" style="18" customWidth="1"/>
    <col min="2051" max="2051" width="7.54296875" style="18" customWidth="1"/>
    <col min="2052" max="2057" width="9.7265625" style="18" customWidth="1"/>
    <col min="2058" max="2058" width="10.7265625" style="18" customWidth="1"/>
    <col min="2059" max="2061" width="9.7265625" style="18" customWidth="1"/>
    <col min="2062" max="2062" width="10.453125" style="18" customWidth="1"/>
    <col min="2063" max="2304" width="8.7265625" style="18"/>
    <col min="2305" max="2306" width="9.7265625" style="18" customWidth="1"/>
    <col min="2307" max="2307" width="7.54296875" style="18" customWidth="1"/>
    <col min="2308" max="2313" width="9.7265625" style="18" customWidth="1"/>
    <col min="2314" max="2314" width="10.7265625" style="18" customWidth="1"/>
    <col min="2315" max="2317" width="9.7265625" style="18" customWidth="1"/>
    <col min="2318" max="2318" width="10.453125" style="18" customWidth="1"/>
    <col min="2319" max="2560" width="8.7265625" style="18"/>
    <col min="2561" max="2562" width="9.7265625" style="18" customWidth="1"/>
    <col min="2563" max="2563" width="7.54296875" style="18" customWidth="1"/>
    <col min="2564" max="2569" width="9.7265625" style="18" customWidth="1"/>
    <col min="2570" max="2570" width="10.7265625" style="18" customWidth="1"/>
    <col min="2571" max="2573" width="9.7265625" style="18" customWidth="1"/>
    <col min="2574" max="2574" width="10.453125" style="18" customWidth="1"/>
    <col min="2575" max="2816" width="8.7265625" style="18"/>
    <col min="2817" max="2818" width="9.7265625" style="18" customWidth="1"/>
    <col min="2819" max="2819" width="7.54296875" style="18" customWidth="1"/>
    <col min="2820" max="2825" width="9.7265625" style="18" customWidth="1"/>
    <col min="2826" max="2826" width="10.7265625" style="18" customWidth="1"/>
    <col min="2827" max="2829" width="9.7265625" style="18" customWidth="1"/>
    <col min="2830" max="2830" width="10.453125" style="18" customWidth="1"/>
    <col min="2831" max="3072" width="8.7265625" style="18"/>
    <col min="3073" max="3074" width="9.7265625" style="18" customWidth="1"/>
    <col min="3075" max="3075" width="7.54296875" style="18" customWidth="1"/>
    <col min="3076" max="3081" width="9.7265625" style="18" customWidth="1"/>
    <col min="3082" max="3082" width="10.7265625" style="18" customWidth="1"/>
    <col min="3083" max="3085" width="9.7265625" style="18" customWidth="1"/>
    <col min="3086" max="3086" width="10.453125" style="18" customWidth="1"/>
    <col min="3087" max="3328" width="8.7265625" style="18"/>
    <col min="3329" max="3330" width="9.7265625" style="18" customWidth="1"/>
    <col min="3331" max="3331" width="7.54296875" style="18" customWidth="1"/>
    <col min="3332" max="3337" width="9.7265625" style="18" customWidth="1"/>
    <col min="3338" max="3338" width="10.7265625" style="18" customWidth="1"/>
    <col min="3339" max="3341" width="9.7265625" style="18" customWidth="1"/>
    <col min="3342" max="3342" width="10.453125" style="18" customWidth="1"/>
    <col min="3343" max="3584" width="8.7265625" style="18"/>
    <col min="3585" max="3586" width="9.7265625" style="18" customWidth="1"/>
    <col min="3587" max="3587" width="7.54296875" style="18" customWidth="1"/>
    <col min="3588" max="3593" width="9.7265625" style="18" customWidth="1"/>
    <col min="3594" max="3594" width="10.7265625" style="18" customWidth="1"/>
    <col min="3595" max="3597" width="9.7265625" style="18" customWidth="1"/>
    <col min="3598" max="3598" width="10.453125" style="18" customWidth="1"/>
    <col min="3599" max="3840" width="8.7265625" style="18"/>
    <col min="3841" max="3842" width="9.7265625" style="18" customWidth="1"/>
    <col min="3843" max="3843" width="7.54296875" style="18" customWidth="1"/>
    <col min="3844" max="3849" width="9.7265625" style="18" customWidth="1"/>
    <col min="3850" max="3850" width="10.7265625" style="18" customWidth="1"/>
    <col min="3851" max="3853" width="9.7265625" style="18" customWidth="1"/>
    <col min="3854" max="3854" width="10.453125" style="18" customWidth="1"/>
    <col min="3855" max="4096" width="8.7265625" style="18"/>
    <col min="4097" max="4098" width="9.7265625" style="18" customWidth="1"/>
    <col min="4099" max="4099" width="7.54296875" style="18" customWidth="1"/>
    <col min="4100" max="4105" width="9.7265625" style="18" customWidth="1"/>
    <col min="4106" max="4106" width="10.7265625" style="18" customWidth="1"/>
    <col min="4107" max="4109" width="9.7265625" style="18" customWidth="1"/>
    <col min="4110" max="4110" width="10.453125" style="18" customWidth="1"/>
    <col min="4111" max="4352" width="8.7265625" style="18"/>
    <col min="4353" max="4354" width="9.7265625" style="18" customWidth="1"/>
    <col min="4355" max="4355" width="7.54296875" style="18" customWidth="1"/>
    <col min="4356" max="4361" width="9.7265625" style="18" customWidth="1"/>
    <col min="4362" max="4362" width="10.7265625" style="18" customWidth="1"/>
    <col min="4363" max="4365" width="9.7265625" style="18" customWidth="1"/>
    <col min="4366" max="4366" width="10.453125" style="18" customWidth="1"/>
    <col min="4367" max="4608" width="8.7265625" style="18"/>
    <col min="4609" max="4610" width="9.7265625" style="18" customWidth="1"/>
    <col min="4611" max="4611" width="7.54296875" style="18" customWidth="1"/>
    <col min="4612" max="4617" width="9.7265625" style="18" customWidth="1"/>
    <col min="4618" max="4618" width="10.7265625" style="18" customWidth="1"/>
    <col min="4619" max="4621" width="9.7265625" style="18" customWidth="1"/>
    <col min="4622" max="4622" width="10.453125" style="18" customWidth="1"/>
    <col min="4623" max="4864" width="8.7265625" style="18"/>
    <col min="4865" max="4866" width="9.7265625" style="18" customWidth="1"/>
    <col min="4867" max="4867" width="7.54296875" style="18" customWidth="1"/>
    <col min="4868" max="4873" width="9.7265625" style="18" customWidth="1"/>
    <col min="4874" max="4874" width="10.7265625" style="18" customWidth="1"/>
    <col min="4875" max="4877" width="9.7265625" style="18" customWidth="1"/>
    <col min="4878" max="4878" width="10.453125" style="18" customWidth="1"/>
    <col min="4879" max="5120" width="8.7265625" style="18"/>
    <col min="5121" max="5122" width="9.7265625" style="18" customWidth="1"/>
    <col min="5123" max="5123" width="7.54296875" style="18" customWidth="1"/>
    <col min="5124" max="5129" width="9.7265625" style="18" customWidth="1"/>
    <col min="5130" max="5130" width="10.7265625" style="18" customWidth="1"/>
    <col min="5131" max="5133" width="9.7265625" style="18" customWidth="1"/>
    <col min="5134" max="5134" width="10.453125" style="18" customWidth="1"/>
    <col min="5135" max="5376" width="8.7265625" style="18"/>
    <col min="5377" max="5378" width="9.7265625" style="18" customWidth="1"/>
    <col min="5379" max="5379" width="7.54296875" style="18" customWidth="1"/>
    <col min="5380" max="5385" width="9.7265625" style="18" customWidth="1"/>
    <col min="5386" max="5386" width="10.7265625" style="18" customWidth="1"/>
    <col min="5387" max="5389" width="9.7265625" style="18" customWidth="1"/>
    <col min="5390" max="5390" width="10.453125" style="18" customWidth="1"/>
    <col min="5391" max="5632" width="8.7265625" style="18"/>
    <col min="5633" max="5634" width="9.7265625" style="18" customWidth="1"/>
    <col min="5635" max="5635" width="7.54296875" style="18" customWidth="1"/>
    <col min="5636" max="5641" width="9.7265625" style="18" customWidth="1"/>
    <col min="5642" max="5642" width="10.7265625" style="18" customWidth="1"/>
    <col min="5643" max="5645" width="9.7265625" style="18" customWidth="1"/>
    <col min="5646" max="5646" width="10.453125" style="18" customWidth="1"/>
    <col min="5647" max="5888" width="8.7265625" style="18"/>
    <col min="5889" max="5890" width="9.7265625" style="18" customWidth="1"/>
    <col min="5891" max="5891" width="7.54296875" style="18" customWidth="1"/>
    <col min="5892" max="5897" width="9.7265625" style="18" customWidth="1"/>
    <col min="5898" max="5898" width="10.7265625" style="18" customWidth="1"/>
    <col min="5899" max="5901" width="9.7265625" style="18" customWidth="1"/>
    <col min="5902" max="5902" width="10.453125" style="18" customWidth="1"/>
    <col min="5903" max="6144" width="8.7265625" style="18"/>
    <col min="6145" max="6146" width="9.7265625" style="18" customWidth="1"/>
    <col min="6147" max="6147" width="7.54296875" style="18" customWidth="1"/>
    <col min="6148" max="6153" width="9.7265625" style="18" customWidth="1"/>
    <col min="6154" max="6154" width="10.7265625" style="18" customWidth="1"/>
    <col min="6155" max="6157" width="9.7265625" style="18" customWidth="1"/>
    <col min="6158" max="6158" width="10.453125" style="18" customWidth="1"/>
    <col min="6159" max="6400" width="8.7265625" style="18"/>
    <col min="6401" max="6402" width="9.7265625" style="18" customWidth="1"/>
    <col min="6403" max="6403" width="7.54296875" style="18" customWidth="1"/>
    <col min="6404" max="6409" width="9.7265625" style="18" customWidth="1"/>
    <col min="6410" max="6410" width="10.7265625" style="18" customWidth="1"/>
    <col min="6411" max="6413" width="9.7265625" style="18" customWidth="1"/>
    <col min="6414" max="6414" width="10.453125" style="18" customWidth="1"/>
    <col min="6415" max="6656" width="8.7265625" style="18"/>
    <col min="6657" max="6658" width="9.7265625" style="18" customWidth="1"/>
    <col min="6659" max="6659" width="7.54296875" style="18" customWidth="1"/>
    <col min="6660" max="6665" width="9.7265625" style="18" customWidth="1"/>
    <col min="6666" max="6666" width="10.7265625" style="18" customWidth="1"/>
    <col min="6667" max="6669" width="9.7265625" style="18" customWidth="1"/>
    <col min="6670" max="6670" width="10.453125" style="18" customWidth="1"/>
    <col min="6671" max="6912" width="8.7265625" style="18"/>
    <col min="6913" max="6914" width="9.7265625" style="18" customWidth="1"/>
    <col min="6915" max="6915" width="7.54296875" style="18" customWidth="1"/>
    <col min="6916" max="6921" width="9.7265625" style="18" customWidth="1"/>
    <col min="6922" max="6922" width="10.7265625" style="18" customWidth="1"/>
    <col min="6923" max="6925" width="9.7265625" style="18" customWidth="1"/>
    <col min="6926" max="6926" width="10.453125" style="18" customWidth="1"/>
    <col min="6927" max="7168" width="8.7265625" style="18"/>
    <col min="7169" max="7170" width="9.7265625" style="18" customWidth="1"/>
    <col min="7171" max="7171" width="7.54296875" style="18" customWidth="1"/>
    <col min="7172" max="7177" width="9.7265625" style="18" customWidth="1"/>
    <col min="7178" max="7178" width="10.7265625" style="18" customWidth="1"/>
    <col min="7179" max="7181" width="9.7265625" style="18" customWidth="1"/>
    <col min="7182" max="7182" width="10.453125" style="18" customWidth="1"/>
    <col min="7183" max="7424" width="8.7265625" style="18"/>
    <col min="7425" max="7426" width="9.7265625" style="18" customWidth="1"/>
    <col min="7427" max="7427" width="7.54296875" style="18" customWidth="1"/>
    <col min="7428" max="7433" width="9.7265625" style="18" customWidth="1"/>
    <col min="7434" max="7434" width="10.7265625" style="18" customWidth="1"/>
    <col min="7435" max="7437" width="9.7265625" style="18" customWidth="1"/>
    <col min="7438" max="7438" width="10.453125" style="18" customWidth="1"/>
    <col min="7439" max="7680" width="8.7265625" style="18"/>
    <col min="7681" max="7682" width="9.7265625" style="18" customWidth="1"/>
    <col min="7683" max="7683" width="7.54296875" style="18" customWidth="1"/>
    <col min="7684" max="7689" width="9.7265625" style="18" customWidth="1"/>
    <col min="7690" max="7690" width="10.7265625" style="18" customWidth="1"/>
    <col min="7691" max="7693" width="9.7265625" style="18" customWidth="1"/>
    <col min="7694" max="7694" width="10.453125" style="18" customWidth="1"/>
    <col min="7695" max="7936" width="8.7265625" style="18"/>
    <col min="7937" max="7938" width="9.7265625" style="18" customWidth="1"/>
    <col min="7939" max="7939" width="7.54296875" style="18" customWidth="1"/>
    <col min="7940" max="7945" width="9.7265625" style="18" customWidth="1"/>
    <col min="7946" max="7946" width="10.7265625" style="18" customWidth="1"/>
    <col min="7947" max="7949" width="9.7265625" style="18" customWidth="1"/>
    <col min="7950" max="7950" width="10.453125" style="18" customWidth="1"/>
    <col min="7951" max="8192" width="8.7265625" style="18"/>
    <col min="8193" max="8194" width="9.7265625" style="18" customWidth="1"/>
    <col min="8195" max="8195" width="7.54296875" style="18" customWidth="1"/>
    <col min="8196" max="8201" width="9.7265625" style="18" customWidth="1"/>
    <col min="8202" max="8202" width="10.7265625" style="18" customWidth="1"/>
    <col min="8203" max="8205" width="9.7265625" style="18" customWidth="1"/>
    <col min="8206" max="8206" width="10.453125" style="18" customWidth="1"/>
    <col min="8207" max="8448" width="8.7265625" style="18"/>
    <col min="8449" max="8450" width="9.7265625" style="18" customWidth="1"/>
    <col min="8451" max="8451" width="7.54296875" style="18" customWidth="1"/>
    <col min="8452" max="8457" width="9.7265625" style="18" customWidth="1"/>
    <col min="8458" max="8458" width="10.7265625" style="18" customWidth="1"/>
    <col min="8459" max="8461" width="9.7265625" style="18" customWidth="1"/>
    <col min="8462" max="8462" width="10.453125" style="18" customWidth="1"/>
    <col min="8463" max="8704" width="8.7265625" style="18"/>
    <col min="8705" max="8706" width="9.7265625" style="18" customWidth="1"/>
    <col min="8707" max="8707" width="7.54296875" style="18" customWidth="1"/>
    <col min="8708" max="8713" width="9.7265625" style="18" customWidth="1"/>
    <col min="8714" max="8714" width="10.7265625" style="18" customWidth="1"/>
    <col min="8715" max="8717" width="9.7265625" style="18" customWidth="1"/>
    <col min="8718" max="8718" width="10.453125" style="18" customWidth="1"/>
    <col min="8719" max="8960" width="8.7265625" style="18"/>
    <col min="8961" max="8962" width="9.7265625" style="18" customWidth="1"/>
    <col min="8963" max="8963" width="7.54296875" style="18" customWidth="1"/>
    <col min="8964" max="8969" width="9.7265625" style="18" customWidth="1"/>
    <col min="8970" max="8970" width="10.7265625" style="18" customWidth="1"/>
    <col min="8971" max="8973" width="9.7265625" style="18" customWidth="1"/>
    <col min="8974" max="8974" width="10.453125" style="18" customWidth="1"/>
    <col min="8975" max="9216" width="8.7265625" style="18"/>
    <col min="9217" max="9218" width="9.7265625" style="18" customWidth="1"/>
    <col min="9219" max="9219" width="7.54296875" style="18" customWidth="1"/>
    <col min="9220" max="9225" width="9.7265625" style="18" customWidth="1"/>
    <col min="9226" max="9226" width="10.7265625" style="18" customWidth="1"/>
    <col min="9227" max="9229" width="9.7265625" style="18" customWidth="1"/>
    <col min="9230" max="9230" width="10.453125" style="18" customWidth="1"/>
    <col min="9231" max="9472" width="8.7265625" style="18"/>
    <col min="9473" max="9474" width="9.7265625" style="18" customWidth="1"/>
    <col min="9475" max="9475" width="7.54296875" style="18" customWidth="1"/>
    <col min="9476" max="9481" width="9.7265625" style="18" customWidth="1"/>
    <col min="9482" max="9482" width="10.7265625" style="18" customWidth="1"/>
    <col min="9483" max="9485" width="9.7265625" style="18" customWidth="1"/>
    <col min="9486" max="9486" width="10.453125" style="18" customWidth="1"/>
    <col min="9487" max="9728" width="8.7265625" style="18"/>
    <col min="9729" max="9730" width="9.7265625" style="18" customWidth="1"/>
    <col min="9731" max="9731" width="7.54296875" style="18" customWidth="1"/>
    <col min="9732" max="9737" width="9.7265625" style="18" customWidth="1"/>
    <col min="9738" max="9738" width="10.7265625" style="18" customWidth="1"/>
    <col min="9739" max="9741" width="9.7265625" style="18" customWidth="1"/>
    <col min="9742" max="9742" width="10.453125" style="18" customWidth="1"/>
    <col min="9743" max="9984" width="8.7265625" style="18"/>
    <col min="9985" max="9986" width="9.7265625" style="18" customWidth="1"/>
    <col min="9987" max="9987" width="7.54296875" style="18" customWidth="1"/>
    <col min="9988" max="9993" width="9.7265625" style="18" customWidth="1"/>
    <col min="9994" max="9994" width="10.7265625" style="18" customWidth="1"/>
    <col min="9995" max="9997" width="9.7265625" style="18" customWidth="1"/>
    <col min="9998" max="9998" width="10.453125" style="18" customWidth="1"/>
    <col min="9999" max="10240" width="8.7265625" style="18"/>
    <col min="10241" max="10242" width="9.7265625" style="18" customWidth="1"/>
    <col min="10243" max="10243" width="7.54296875" style="18" customWidth="1"/>
    <col min="10244" max="10249" width="9.7265625" style="18" customWidth="1"/>
    <col min="10250" max="10250" width="10.7265625" style="18" customWidth="1"/>
    <col min="10251" max="10253" width="9.7265625" style="18" customWidth="1"/>
    <col min="10254" max="10254" width="10.453125" style="18" customWidth="1"/>
    <col min="10255" max="10496" width="8.7265625" style="18"/>
    <col min="10497" max="10498" width="9.7265625" style="18" customWidth="1"/>
    <col min="10499" max="10499" width="7.54296875" style="18" customWidth="1"/>
    <col min="10500" max="10505" width="9.7265625" style="18" customWidth="1"/>
    <col min="10506" max="10506" width="10.7265625" style="18" customWidth="1"/>
    <col min="10507" max="10509" width="9.7265625" style="18" customWidth="1"/>
    <col min="10510" max="10510" width="10.453125" style="18" customWidth="1"/>
    <col min="10511" max="10752" width="8.7265625" style="18"/>
    <col min="10753" max="10754" width="9.7265625" style="18" customWidth="1"/>
    <col min="10755" max="10755" width="7.54296875" style="18" customWidth="1"/>
    <col min="10756" max="10761" width="9.7265625" style="18" customWidth="1"/>
    <col min="10762" max="10762" width="10.7265625" style="18" customWidth="1"/>
    <col min="10763" max="10765" width="9.7265625" style="18" customWidth="1"/>
    <col min="10766" max="10766" width="10.453125" style="18" customWidth="1"/>
    <col min="10767" max="11008" width="8.7265625" style="18"/>
    <col min="11009" max="11010" width="9.7265625" style="18" customWidth="1"/>
    <col min="11011" max="11011" width="7.54296875" style="18" customWidth="1"/>
    <col min="11012" max="11017" width="9.7265625" style="18" customWidth="1"/>
    <col min="11018" max="11018" width="10.7265625" style="18" customWidth="1"/>
    <col min="11019" max="11021" width="9.7265625" style="18" customWidth="1"/>
    <col min="11022" max="11022" width="10.453125" style="18" customWidth="1"/>
    <col min="11023" max="11264" width="8.7265625" style="18"/>
    <col min="11265" max="11266" width="9.7265625" style="18" customWidth="1"/>
    <col min="11267" max="11267" width="7.54296875" style="18" customWidth="1"/>
    <col min="11268" max="11273" width="9.7265625" style="18" customWidth="1"/>
    <col min="11274" max="11274" width="10.7265625" style="18" customWidth="1"/>
    <col min="11275" max="11277" width="9.7265625" style="18" customWidth="1"/>
    <col min="11278" max="11278" width="10.453125" style="18" customWidth="1"/>
    <col min="11279" max="11520" width="8.7265625" style="18"/>
    <col min="11521" max="11522" width="9.7265625" style="18" customWidth="1"/>
    <col min="11523" max="11523" width="7.54296875" style="18" customWidth="1"/>
    <col min="11524" max="11529" width="9.7265625" style="18" customWidth="1"/>
    <col min="11530" max="11530" width="10.7265625" style="18" customWidth="1"/>
    <col min="11531" max="11533" width="9.7265625" style="18" customWidth="1"/>
    <col min="11534" max="11534" width="10.453125" style="18" customWidth="1"/>
    <col min="11535" max="11776" width="8.7265625" style="18"/>
    <col min="11777" max="11778" width="9.7265625" style="18" customWidth="1"/>
    <col min="11779" max="11779" width="7.54296875" style="18" customWidth="1"/>
    <col min="11780" max="11785" width="9.7265625" style="18" customWidth="1"/>
    <col min="11786" max="11786" width="10.7265625" style="18" customWidth="1"/>
    <col min="11787" max="11789" width="9.7265625" style="18" customWidth="1"/>
    <col min="11790" max="11790" width="10.453125" style="18" customWidth="1"/>
    <col min="11791" max="12032" width="8.7265625" style="18"/>
    <col min="12033" max="12034" width="9.7265625" style="18" customWidth="1"/>
    <col min="12035" max="12035" width="7.54296875" style="18" customWidth="1"/>
    <col min="12036" max="12041" width="9.7265625" style="18" customWidth="1"/>
    <col min="12042" max="12042" width="10.7265625" style="18" customWidth="1"/>
    <col min="12043" max="12045" width="9.7265625" style="18" customWidth="1"/>
    <col min="12046" max="12046" width="10.453125" style="18" customWidth="1"/>
    <col min="12047" max="12288" width="8.7265625" style="18"/>
    <col min="12289" max="12290" width="9.7265625" style="18" customWidth="1"/>
    <col min="12291" max="12291" width="7.54296875" style="18" customWidth="1"/>
    <col min="12292" max="12297" width="9.7265625" style="18" customWidth="1"/>
    <col min="12298" max="12298" width="10.7265625" style="18" customWidth="1"/>
    <col min="12299" max="12301" width="9.7265625" style="18" customWidth="1"/>
    <col min="12302" max="12302" width="10.453125" style="18" customWidth="1"/>
    <col min="12303" max="12544" width="8.7265625" style="18"/>
    <col min="12545" max="12546" width="9.7265625" style="18" customWidth="1"/>
    <col min="12547" max="12547" width="7.54296875" style="18" customWidth="1"/>
    <col min="12548" max="12553" width="9.7265625" style="18" customWidth="1"/>
    <col min="12554" max="12554" width="10.7265625" style="18" customWidth="1"/>
    <col min="12555" max="12557" width="9.7265625" style="18" customWidth="1"/>
    <col min="12558" max="12558" width="10.453125" style="18" customWidth="1"/>
    <col min="12559" max="12800" width="8.7265625" style="18"/>
    <col min="12801" max="12802" width="9.7265625" style="18" customWidth="1"/>
    <col min="12803" max="12803" width="7.54296875" style="18" customWidth="1"/>
    <col min="12804" max="12809" width="9.7265625" style="18" customWidth="1"/>
    <col min="12810" max="12810" width="10.7265625" style="18" customWidth="1"/>
    <col min="12811" max="12813" width="9.7265625" style="18" customWidth="1"/>
    <col min="12814" max="12814" width="10.453125" style="18" customWidth="1"/>
    <col min="12815" max="13056" width="8.7265625" style="18"/>
    <col min="13057" max="13058" width="9.7265625" style="18" customWidth="1"/>
    <col min="13059" max="13059" width="7.54296875" style="18" customWidth="1"/>
    <col min="13060" max="13065" width="9.7265625" style="18" customWidth="1"/>
    <col min="13066" max="13066" width="10.7265625" style="18" customWidth="1"/>
    <col min="13067" max="13069" width="9.7265625" style="18" customWidth="1"/>
    <col min="13070" max="13070" width="10.453125" style="18" customWidth="1"/>
    <col min="13071" max="13312" width="8.7265625" style="18"/>
    <col min="13313" max="13314" width="9.7265625" style="18" customWidth="1"/>
    <col min="13315" max="13315" width="7.54296875" style="18" customWidth="1"/>
    <col min="13316" max="13321" width="9.7265625" style="18" customWidth="1"/>
    <col min="13322" max="13322" width="10.7265625" style="18" customWidth="1"/>
    <col min="13323" max="13325" width="9.7265625" style="18" customWidth="1"/>
    <col min="13326" max="13326" width="10.453125" style="18" customWidth="1"/>
    <col min="13327" max="13568" width="8.7265625" style="18"/>
    <col min="13569" max="13570" width="9.7265625" style="18" customWidth="1"/>
    <col min="13571" max="13571" width="7.54296875" style="18" customWidth="1"/>
    <col min="13572" max="13577" width="9.7265625" style="18" customWidth="1"/>
    <col min="13578" max="13578" width="10.7265625" style="18" customWidth="1"/>
    <col min="13579" max="13581" width="9.7265625" style="18" customWidth="1"/>
    <col min="13582" max="13582" width="10.453125" style="18" customWidth="1"/>
    <col min="13583" max="13824" width="8.7265625" style="18"/>
    <col min="13825" max="13826" width="9.7265625" style="18" customWidth="1"/>
    <col min="13827" max="13827" width="7.54296875" style="18" customWidth="1"/>
    <col min="13828" max="13833" width="9.7265625" style="18" customWidth="1"/>
    <col min="13834" max="13834" width="10.7265625" style="18" customWidth="1"/>
    <col min="13835" max="13837" width="9.7265625" style="18" customWidth="1"/>
    <col min="13838" max="13838" width="10.453125" style="18" customWidth="1"/>
    <col min="13839" max="14080" width="8.7265625" style="18"/>
    <col min="14081" max="14082" width="9.7265625" style="18" customWidth="1"/>
    <col min="14083" max="14083" width="7.54296875" style="18" customWidth="1"/>
    <col min="14084" max="14089" width="9.7265625" style="18" customWidth="1"/>
    <col min="14090" max="14090" width="10.7265625" style="18" customWidth="1"/>
    <col min="14091" max="14093" width="9.7265625" style="18" customWidth="1"/>
    <col min="14094" max="14094" width="10.453125" style="18" customWidth="1"/>
    <col min="14095" max="14336" width="8.7265625" style="18"/>
    <col min="14337" max="14338" width="9.7265625" style="18" customWidth="1"/>
    <col min="14339" max="14339" width="7.54296875" style="18" customWidth="1"/>
    <col min="14340" max="14345" width="9.7265625" style="18" customWidth="1"/>
    <col min="14346" max="14346" width="10.7265625" style="18" customWidth="1"/>
    <col min="14347" max="14349" width="9.7265625" style="18" customWidth="1"/>
    <col min="14350" max="14350" width="10.453125" style="18" customWidth="1"/>
    <col min="14351" max="14592" width="8.7265625" style="18"/>
    <col min="14593" max="14594" width="9.7265625" style="18" customWidth="1"/>
    <col min="14595" max="14595" width="7.54296875" style="18" customWidth="1"/>
    <col min="14596" max="14601" width="9.7265625" style="18" customWidth="1"/>
    <col min="14602" max="14602" width="10.7265625" style="18" customWidth="1"/>
    <col min="14603" max="14605" width="9.7265625" style="18" customWidth="1"/>
    <col min="14606" max="14606" width="10.453125" style="18" customWidth="1"/>
    <col min="14607" max="14848" width="8.7265625" style="18"/>
    <col min="14849" max="14850" width="9.7265625" style="18" customWidth="1"/>
    <col min="14851" max="14851" width="7.54296875" style="18" customWidth="1"/>
    <col min="14852" max="14857" width="9.7265625" style="18" customWidth="1"/>
    <col min="14858" max="14858" width="10.7265625" style="18" customWidth="1"/>
    <col min="14859" max="14861" width="9.7265625" style="18" customWidth="1"/>
    <col min="14862" max="14862" width="10.453125" style="18" customWidth="1"/>
    <col min="14863" max="15104" width="8.7265625" style="18"/>
    <col min="15105" max="15106" width="9.7265625" style="18" customWidth="1"/>
    <col min="15107" max="15107" width="7.54296875" style="18" customWidth="1"/>
    <col min="15108" max="15113" width="9.7265625" style="18" customWidth="1"/>
    <col min="15114" max="15114" width="10.7265625" style="18" customWidth="1"/>
    <col min="15115" max="15117" width="9.7265625" style="18" customWidth="1"/>
    <col min="15118" max="15118" width="10.453125" style="18" customWidth="1"/>
    <col min="15119" max="15360" width="8.7265625" style="18"/>
    <col min="15361" max="15362" width="9.7265625" style="18" customWidth="1"/>
    <col min="15363" max="15363" width="7.54296875" style="18" customWidth="1"/>
    <col min="15364" max="15369" width="9.7265625" style="18" customWidth="1"/>
    <col min="15370" max="15370" width="10.7265625" style="18" customWidth="1"/>
    <col min="15371" max="15373" width="9.7265625" style="18" customWidth="1"/>
    <col min="15374" max="15374" width="10.453125" style="18" customWidth="1"/>
    <col min="15375" max="15616" width="8.7265625" style="18"/>
    <col min="15617" max="15618" width="9.7265625" style="18" customWidth="1"/>
    <col min="15619" max="15619" width="7.54296875" style="18" customWidth="1"/>
    <col min="15620" max="15625" width="9.7265625" style="18" customWidth="1"/>
    <col min="15626" max="15626" width="10.7265625" style="18" customWidth="1"/>
    <col min="15627" max="15629" width="9.7265625" style="18" customWidth="1"/>
    <col min="15630" max="15630" width="10.453125" style="18" customWidth="1"/>
    <col min="15631" max="15872" width="8.7265625" style="18"/>
    <col min="15873" max="15874" width="9.7265625" style="18" customWidth="1"/>
    <col min="15875" max="15875" width="7.54296875" style="18" customWidth="1"/>
    <col min="15876" max="15881" width="9.7265625" style="18" customWidth="1"/>
    <col min="15882" max="15882" width="10.7265625" style="18" customWidth="1"/>
    <col min="15883" max="15885" width="9.7265625" style="18" customWidth="1"/>
    <col min="15886" max="15886" width="10.453125" style="18" customWidth="1"/>
    <col min="15887" max="16128" width="8.7265625" style="18"/>
    <col min="16129" max="16130" width="9.7265625" style="18" customWidth="1"/>
    <col min="16131" max="16131" width="7.54296875" style="18" customWidth="1"/>
    <col min="16132" max="16137" width="9.7265625" style="18" customWidth="1"/>
    <col min="16138" max="16138" width="10.7265625" style="18" customWidth="1"/>
    <col min="16139" max="16141" width="9.7265625" style="18" customWidth="1"/>
    <col min="16142" max="16142" width="10.453125" style="18" customWidth="1"/>
    <col min="16143" max="16384" width="8.7265625" style="18"/>
  </cols>
  <sheetData>
    <row r="1" spans="1:19" ht="19" customHeight="1" x14ac:dyDescent="0.45">
      <c r="A1" s="44" t="s">
        <v>46</v>
      </c>
      <c r="B1" s="44" t="s">
        <v>47</v>
      </c>
      <c r="F1" s="45" t="s">
        <v>28</v>
      </c>
      <c r="G1" s="45"/>
      <c r="H1" s="46">
        <f>COVAR(A3:A100,B3:B100)</f>
        <v>23.87278911564626</v>
      </c>
      <c r="R1" s="19"/>
      <c r="S1" s="19"/>
    </row>
    <row r="2" spans="1:19" ht="19" customHeight="1" x14ac:dyDescent="0.45">
      <c r="A2" s="44" t="s">
        <v>48</v>
      </c>
      <c r="B2" s="44" t="s">
        <v>49</v>
      </c>
      <c r="J2" s="45"/>
      <c r="K2" s="45"/>
      <c r="N2" s="47"/>
      <c r="R2" s="19"/>
      <c r="S2" s="19"/>
    </row>
    <row r="3" spans="1:19" ht="19" customHeight="1" x14ac:dyDescent="0.45">
      <c r="A3" s="75">
        <v>500</v>
      </c>
      <c r="B3" s="75">
        <v>13.3</v>
      </c>
      <c r="D3" s="45" t="s">
        <v>29</v>
      </c>
      <c r="E3" s="45"/>
      <c r="I3" s="45" t="s">
        <v>30</v>
      </c>
      <c r="J3" s="46"/>
      <c r="R3" s="19"/>
      <c r="S3" s="19"/>
    </row>
    <row r="4" spans="1:19" ht="19" customHeight="1" x14ac:dyDescent="0.45">
      <c r="A4" s="76">
        <v>500</v>
      </c>
      <c r="B4" s="76">
        <v>11.2</v>
      </c>
      <c r="D4" s="46" t="s">
        <v>31</v>
      </c>
      <c r="E4" s="48">
        <f>CORREL(A3:A100,B3:B100)</f>
        <v>0.10492572586178052</v>
      </c>
      <c r="I4" s="46" t="s">
        <v>32</v>
      </c>
      <c r="J4" s="48">
        <f>SLOPE(B3:B100,A3:A100)</f>
        <v>1.8289301699211792E-3</v>
      </c>
      <c r="K4" s="49" t="s">
        <v>33</v>
      </c>
      <c r="L4" s="50"/>
      <c r="M4" s="51">
        <f>J4</f>
        <v>1.8289301699211792E-3</v>
      </c>
      <c r="N4" s="45"/>
      <c r="Q4" s="19"/>
      <c r="R4" s="19"/>
    </row>
    <row r="5" spans="1:19" ht="19" customHeight="1" x14ac:dyDescent="0.4">
      <c r="A5" s="76">
        <v>301</v>
      </c>
      <c r="B5" s="76">
        <v>13.4</v>
      </c>
      <c r="D5" s="46" t="s">
        <v>34</v>
      </c>
      <c r="E5" s="48">
        <f>E4*E4</f>
        <v>1.1009407947621517E-2</v>
      </c>
      <c r="J5" s="52"/>
      <c r="K5" s="53" t="s">
        <v>35</v>
      </c>
      <c r="L5" s="54"/>
      <c r="M5" s="55"/>
      <c r="N5" s="56"/>
      <c r="Q5" s="19"/>
      <c r="R5" s="19"/>
    </row>
    <row r="6" spans="1:19" ht="19" customHeight="1" x14ac:dyDescent="0.4">
      <c r="A6" s="76">
        <v>272</v>
      </c>
      <c r="B6" s="76">
        <v>11.5</v>
      </c>
      <c r="D6" s="57">
        <f>E5*100</f>
        <v>1.1009407947621517</v>
      </c>
      <c r="E6" s="58" t="s">
        <v>36</v>
      </c>
      <c r="F6" s="50"/>
      <c r="G6" s="59"/>
      <c r="I6" s="46" t="s">
        <v>37</v>
      </c>
      <c r="J6" s="60">
        <f>INTERCEPT(B3:B100,A3:A100)</f>
        <v>10.911651879431217</v>
      </c>
      <c r="N6" s="56"/>
    </row>
    <row r="7" spans="1:19" ht="19" customHeight="1" x14ac:dyDescent="0.4">
      <c r="A7" s="76">
        <v>226</v>
      </c>
      <c r="B7" s="76">
        <v>11.4</v>
      </c>
      <c r="D7" s="61" t="s">
        <v>38</v>
      </c>
      <c r="E7" s="54"/>
      <c r="F7" s="54"/>
      <c r="G7" s="55"/>
    </row>
    <row r="8" spans="1:19" ht="19" customHeight="1" x14ac:dyDescent="0.4">
      <c r="A8" s="76">
        <v>183</v>
      </c>
      <c r="B8" s="76">
        <v>11.6</v>
      </c>
    </row>
    <row r="9" spans="1:19" ht="19" customHeight="1" x14ac:dyDescent="0.4">
      <c r="A9" s="76">
        <v>183</v>
      </c>
      <c r="B9" s="76">
        <v>11.7</v>
      </c>
    </row>
    <row r="10" spans="1:19" ht="19" customHeight="1" x14ac:dyDescent="0.4">
      <c r="A10" s="76">
        <v>177</v>
      </c>
      <c r="B10" s="76">
        <v>12.1</v>
      </c>
      <c r="G10" s="62" t="s">
        <v>39</v>
      </c>
      <c r="H10" s="50"/>
      <c r="I10" s="63">
        <f>E4*SQRT(ABS(I11)/(1-E5))</f>
        <v>0.45989925134739995</v>
      </c>
      <c r="J10" s="18" t="s">
        <v>40</v>
      </c>
      <c r="Q10" s="19"/>
      <c r="R10" s="19"/>
    </row>
    <row r="11" spans="1:19" ht="19" customHeight="1" x14ac:dyDescent="0.4">
      <c r="A11" s="76">
        <v>136</v>
      </c>
      <c r="B11" s="76">
        <v>12.5</v>
      </c>
      <c r="G11" s="64" t="s">
        <v>41</v>
      </c>
      <c r="H11" s="65"/>
      <c r="I11" s="66">
        <f>COUNT(A3:A100)-2</f>
        <v>19</v>
      </c>
      <c r="Q11" s="19"/>
      <c r="R11" s="19"/>
    </row>
    <row r="12" spans="1:19" ht="19" customHeight="1" x14ac:dyDescent="0.4">
      <c r="A12" s="76">
        <v>118</v>
      </c>
      <c r="B12" s="76">
        <v>12.2</v>
      </c>
      <c r="G12" s="67" t="s">
        <v>42</v>
      </c>
      <c r="H12" s="54"/>
      <c r="I12" s="68">
        <f>TDIST(ABS(I10),I11,2)</f>
        <v>0.65080773752130816</v>
      </c>
      <c r="Q12" s="19"/>
      <c r="R12" s="19"/>
    </row>
    <row r="13" spans="1:19" ht="19" customHeight="1" x14ac:dyDescent="0.4">
      <c r="A13" s="76">
        <v>60</v>
      </c>
      <c r="B13" s="76">
        <v>18</v>
      </c>
      <c r="Q13" s="19"/>
      <c r="R13" s="19"/>
    </row>
    <row r="14" spans="1:19" ht="19" customHeight="1" x14ac:dyDescent="0.4">
      <c r="A14" s="76">
        <v>254</v>
      </c>
      <c r="B14" s="76">
        <v>10.1</v>
      </c>
      <c r="Q14" s="19"/>
      <c r="R14" s="19"/>
    </row>
    <row r="15" spans="1:19" ht="19" customHeight="1" x14ac:dyDescent="0.4">
      <c r="A15" s="76">
        <v>172</v>
      </c>
      <c r="B15" s="76">
        <v>9.4</v>
      </c>
      <c r="Q15" s="19"/>
      <c r="R15" s="19"/>
    </row>
    <row r="16" spans="1:19" ht="19" customHeight="1" x14ac:dyDescent="0.4">
      <c r="A16" s="77">
        <v>168</v>
      </c>
      <c r="B16" s="77">
        <v>9.3000000000000007</v>
      </c>
      <c r="L16" s="70" t="s">
        <v>43</v>
      </c>
      <c r="Q16" s="19"/>
      <c r="R16" s="19"/>
    </row>
    <row r="17" spans="1:18" ht="19" customHeight="1" x14ac:dyDescent="0.4">
      <c r="A17" s="77">
        <v>150</v>
      </c>
      <c r="B17" s="77">
        <v>8.6</v>
      </c>
      <c r="L17" s="71" t="s">
        <v>44</v>
      </c>
      <c r="M17" s="71" t="s">
        <v>45</v>
      </c>
      <c r="Q17" s="19"/>
      <c r="R17" s="19"/>
    </row>
    <row r="18" spans="1:18" ht="19" customHeight="1" x14ac:dyDescent="0.4">
      <c r="A18" s="77">
        <v>148</v>
      </c>
      <c r="B18" s="77">
        <v>10.5</v>
      </c>
      <c r="L18" s="72">
        <v>165</v>
      </c>
      <c r="M18" s="73">
        <f>L18*J4+J6</f>
        <v>11.213425357468211</v>
      </c>
      <c r="Q18" s="19"/>
      <c r="R18" s="19"/>
    </row>
    <row r="19" spans="1:18" ht="19" customHeight="1" x14ac:dyDescent="0.4">
      <c r="A19" s="77">
        <v>144</v>
      </c>
      <c r="B19" s="77">
        <v>10.3</v>
      </c>
      <c r="L19" s="72">
        <v>170</v>
      </c>
      <c r="M19" s="73">
        <f>L19*J4+J6</f>
        <v>11.222570008317817</v>
      </c>
      <c r="R19" s="19"/>
    </row>
    <row r="20" spans="1:18" ht="19" customHeight="1" x14ac:dyDescent="0.4">
      <c r="A20" s="77">
        <v>130</v>
      </c>
      <c r="B20" s="77">
        <v>10.5</v>
      </c>
      <c r="L20" s="72">
        <v>180</v>
      </c>
      <c r="M20" s="73">
        <f>L20*J4+J6</f>
        <v>11.240859310017029</v>
      </c>
      <c r="R20" s="19"/>
    </row>
    <row r="21" spans="1:18" ht="19" customHeight="1" x14ac:dyDescent="0.4">
      <c r="A21" s="77">
        <v>121</v>
      </c>
      <c r="B21" s="77">
        <v>10.199999999999999</v>
      </c>
      <c r="R21" s="19"/>
    </row>
    <row r="22" spans="1:18" ht="19" customHeight="1" x14ac:dyDescent="0.4">
      <c r="A22" s="77">
        <v>100</v>
      </c>
      <c r="B22" s="77">
        <v>9.6999999999999993</v>
      </c>
      <c r="R22" s="19"/>
    </row>
    <row r="23" spans="1:18" ht="19" customHeight="1" x14ac:dyDescent="0.4">
      <c r="A23" s="77">
        <v>88</v>
      </c>
      <c r="B23" s="77">
        <v>9.1999999999999993</v>
      </c>
      <c r="Q23" s="19"/>
      <c r="R23" s="19"/>
    </row>
    <row r="24" spans="1:18" ht="19" customHeight="1" x14ac:dyDescent="0.25">
      <c r="A24" s="69"/>
      <c r="B24" s="69"/>
      <c r="Q24" s="19"/>
      <c r="R24" s="19"/>
    </row>
    <row r="25" spans="1:18" ht="19" customHeight="1" x14ac:dyDescent="0.25">
      <c r="O25" s="19"/>
      <c r="P25" s="19"/>
    </row>
    <row r="26" spans="1:18" ht="19" customHeight="1" x14ac:dyDescent="0.25">
      <c r="A26" s="74"/>
      <c r="B26" s="74"/>
      <c r="Q26" s="19"/>
      <c r="R26" s="19"/>
    </row>
    <row r="27" spans="1:18" ht="19" customHeight="1" x14ac:dyDescent="0.25">
      <c r="A27" s="74"/>
      <c r="B27" s="74"/>
      <c r="Q27" s="19"/>
      <c r="R27" s="19"/>
    </row>
    <row r="28" spans="1:18" x14ac:dyDescent="0.25">
      <c r="A28" s="74"/>
      <c r="B28" s="74"/>
      <c r="Q28" s="19"/>
      <c r="R28" s="19"/>
    </row>
    <row r="29" spans="1:18" x14ac:dyDescent="0.25">
      <c r="A29" s="74"/>
      <c r="B29" s="74"/>
    </row>
    <row r="30" spans="1:18" x14ac:dyDescent="0.25">
      <c r="A30" s="74"/>
      <c r="B30" s="74"/>
    </row>
    <row r="31" spans="1:18" x14ac:dyDescent="0.25">
      <c r="A31" s="74"/>
      <c r="B31" s="74"/>
    </row>
    <row r="32" spans="1:18" x14ac:dyDescent="0.25">
      <c r="A32" s="74"/>
      <c r="B32" s="74"/>
    </row>
    <row r="33" spans="1:2" x14ac:dyDescent="0.25">
      <c r="A33" s="74"/>
      <c r="B33" s="74"/>
    </row>
    <row r="34" spans="1:2" x14ac:dyDescent="0.25">
      <c r="A34" s="74"/>
      <c r="B34" s="74"/>
    </row>
    <row r="35" spans="1:2" x14ac:dyDescent="0.25">
      <c r="A35" s="74"/>
      <c r="B35" s="74"/>
    </row>
    <row r="36" spans="1:2" x14ac:dyDescent="0.25">
      <c r="A36" s="74"/>
      <c r="B36" s="74"/>
    </row>
    <row r="37" spans="1:2" x14ac:dyDescent="0.25">
      <c r="A37" s="74"/>
      <c r="B37" s="74"/>
    </row>
    <row r="38" spans="1:2" x14ac:dyDescent="0.25">
      <c r="A38" s="74"/>
      <c r="B38" s="74"/>
    </row>
    <row r="39" spans="1:2" x14ac:dyDescent="0.25">
      <c r="A39" s="74"/>
      <c r="B39" s="74"/>
    </row>
    <row r="40" spans="1:2" x14ac:dyDescent="0.25">
      <c r="A40" s="74"/>
      <c r="B40" s="74"/>
    </row>
    <row r="41" spans="1:2" x14ac:dyDescent="0.25">
      <c r="A41" s="74"/>
      <c r="B41" s="74"/>
    </row>
    <row r="42" spans="1:2" x14ac:dyDescent="0.25">
      <c r="A42" s="74"/>
      <c r="B42" s="74"/>
    </row>
    <row r="43" spans="1:2" x14ac:dyDescent="0.25">
      <c r="A43" s="74"/>
      <c r="B43" s="74"/>
    </row>
    <row r="44" spans="1:2" x14ac:dyDescent="0.25">
      <c r="A44" s="74"/>
      <c r="B44" s="74"/>
    </row>
    <row r="45" spans="1:2" x14ac:dyDescent="0.25">
      <c r="A45" s="74"/>
      <c r="B45" s="74"/>
    </row>
    <row r="46" spans="1:2" x14ac:dyDescent="0.25">
      <c r="A46" s="74"/>
      <c r="B46" s="74"/>
    </row>
    <row r="47" spans="1:2" x14ac:dyDescent="0.25">
      <c r="A47" s="52"/>
      <c r="B47" s="52"/>
    </row>
    <row r="48" spans="1:2" x14ac:dyDescent="0.25">
      <c r="A48" s="52"/>
      <c r="B48" s="52"/>
    </row>
  </sheetData>
  <pageMargins left="0.78740157480314965" right="0.78740157480314965" top="0.78740157480314965" bottom="0.78740157480314965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A11" sqref="A11:XFD11"/>
    </sheetView>
  </sheetViews>
  <sheetFormatPr defaultRowHeight="14.5" x14ac:dyDescent="0.35"/>
  <cols>
    <col min="7" max="12" width="10.6328125" customWidth="1"/>
  </cols>
  <sheetData>
    <row r="1" spans="1:13" ht="15.5" x14ac:dyDescent="0.35">
      <c r="A1" s="99" t="s">
        <v>73</v>
      </c>
      <c r="B1" s="104" t="s">
        <v>74</v>
      </c>
      <c r="C1" s="100">
        <v>3</v>
      </c>
      <c r="D1" s="100"/>
      <c r="E1" s="100"/>
      <c r="F1" s="100"/>
      <c r="G1" s="103"/>
      <c r="H1" s="105"/>
      <c r="I1" s="103" t="str">
        <f>B3</f>
        <v>group 1</v>
      </c>
      <c r="J1" s="103" t="str">
        <f>C3</f>
        <v>group 2</v>
      </c>
      <c r="K1" s="103" t="str">
        <f>D3</f>
        <v>group 3</v>
      </c>
      <c r="L1" s="103" t="s">
        <v>75</v>
      </c>
      <c r="M1" s="106"/>
    </row>
    <row r="2" spans="1:13" ht="15.5" x14ac:dyDescent="0.35">
      <c r="A2" s="100"/>
      <c r="B2" s="100"/>
      <c r="C2" s="100"/>
      <c r="D2" s="100"/>
      <c r="E2" s="100"/>
      <c r="F2" s="100"/>
      <c r="G2" s="103"/>
      <c r="H2" s="107" t="s">
        <v>69</v>
      </c>
      <c r="I2" s="108">
        <v>11.2</v>
      </c>
      <c r="J2" s="108">
        <v>8</v>
      </c>
      <c r="K2" s="108">
        <v>6.6</v>
      </c>
      <c r="L2" s="109">
        <f>(B4*I2+C4*J2+D4*K2)/E4</f>
        <v>8.5944166070150327</v>
      </c>
      <c r="M2" s="106"/>
    </row>
    <row r="3" spans="1:13" ht="15.5" x14ac:dyDescent="0.35">
      <c r="A3" s="100"/>
      <c r="B3" s="100" t="s">
        <v>76</v>
      </c>
      <c r="C3" s="100" t="s">
        <v>77</v>
      </c>
      <c r="D3" s="100" t="s">
        <v>78</v>
      </c>
      <c r="E3" s="100" t="s">
        <v>75</v>
      </c>
      <c r="G3" s="110"/>
      <c r="H3" s="107" t="s">
        <v>71</v>
      </c>
      <c r="I3" s="111">
        <v>8.8000000000000007</v>
      </c>
      <c r="J3" s="111">
        <v>6.4</v>
      </c>
      <c r="K3" s="112">
        <v>4.9000000000000004</v>
      </c>
      <c r="L3" s="109"/>
      <c r="M3" s="113"/>
    </row>
    <row r="4" spans="1:13" ht="15.5" x14ac:dyDescent="0.35">
      <c r="A4" s="99" t="s">
        <v>9</v>
      </c>
      <c r="B4" s="101">
        <v>757</v>
      </c>
      <c r="C4" s="101">
        <v>1493</v>
      </c>
      <c r="D4" s="101">
        <v>544</v>
      </c>
      <c r="E4" s="99">
        <f>SUM(B4:D4)</f>
        <v>2794</v>
      </c>
      <c r="G4" s="114"/>
      <c r="H4" s="114"/>
      <c r="I4" s="114"/>
      <c r="J4" s="114"/>
      <c r="K4" s="114"/>
      <c r="L4" s="114"/>
      <c r="M4" s="106"/>
    </row>
    <row r="5" spans="1:13" ht="15.5" x14ac:dyDescent="0.35">
      <c r="A5" s="99" t="s">
        <v>70</v>
      </c>
      <c r="B5" s="102">
        <f>B4-1</f>
        <v>756</v>
      </c>
      <c r="C5" s="102">
        <f>C4-1</f>
        <v>1492</v>
      </c>
      <c r="D5" s="102">
        <f>D4-1</f>
        <v>543</v>
      </c>
      <c r="E5" s="99">
        <f>SUM(B5:D5)</f>
        <v>2791</v>
      </c>
      <c r="G5" s="103" t="s">
        <v>79</v>
      </c>
      <c r="H5" s="107" t="s">
        <v>80</v>
      </c>
      <c r="I5" s="115">
        <f>I3^2</f>
        <v>77.440000000000012</v>
      </c>
      <c r="J5" s="115">
        <f>J3^2</f>
        <v>40.960000000000008</v>
      </c>
      <c r="K5" s="115">
        <f>K3^2</f>
        <v>24.010000000000005</v>
      </c>
      <c r="L5" s="109">
        <f>L6/E5</f>
        <v>47.543672518810467</v>
      </c>
      <c r="M5" s="106"/>
    </row>
    <row r="6" spans="1:13" ht="15.5" x14ac:dyDescent="0.35">
      <c r="A6" s="100"/>
      <c r="B6" s="100"/>
      <c r="C6" s="100"/>
      <c r="D6" s="100"/>
      <c r="E6" s="100"/>
      <c r="F6" s="100"/>
      <c r="G6" s="103"/>
      <c r="H6" s="110" t="s">
        <v>81</v>
      </c>
      <c r="I6" s="116">
        <f>I5*B5</f>
        <v>58544.640000000007</v>
      </c>
      <c r="J6" s="116">
        <f>J5*C5</f>
        <v>61112.320000000014</v>
      </c>
      <c r="K6" s="116">
        <f>K5*D5</f>
        <v>13037.430000000002</v>
      </c>
      <c r="L6" s="117">
        <f>SUM(I6:K6)</f>
        <v>132694.39000000001</v>
      </c>
      <c r="M6" s="113"/>
    </row>
    <row r="7" spans="1:13" ht="15.5" x14ac:dyDescent="0.35">
      <c r="A7" s="100"/>
      <c r="B7" s="100"/>
      <c r="C7" s="100"/>
      <c r="D7" s="100"/>
      <c r="E7" s="100"/>
      <c r="F7" s="100"/>
      <c r="G7" s="103"/>
      <c r="H7" s="110"/>
      <c r="I7" s="110"/>
      <c r="J7" s="110"/>
      <c r="K7" s="110"/>
      <c r="L7" s="103"/>
      <c r="M7" s="113"/>
    </row>
    <row r="8" spans="1:13" ht="15.5" x14ac:dyDescent="0.35">
      <c r="A8" s="100"/>
      <c r="B8" s="100"/>
      <c r="C8" s="100"/>
      <c r="D8" s="100"/>
      <c r="E8" s="100"/>
      <c r="F8" s="100"/>
      <c r="G8" s="103" t="s">
        <v>82</v>
      </c>
      <c r="H8" s="110" t="s">
        <v>81</v>
      </c>
      <c r="I8" s="115">
        <f>B4*(I2-$L2)^2</f>
        <v>5139.322067073881</v>
      </c>
      <c r="J8" s="115">
        <f>C4*(J2-$L2)^2</f>
        <v>527.52333632402895</v>
      </c>
      <c r="K8" s="115">
        <f>D4*(K2-$L2)^2</f>
        <v>2163.8674956715222</v>
      </c>
      <c r="L8" s="118">
        <f>SUM(I8:K8)</f>
        <v>7830.7128990694318</v>
      </c>
      <c r="M8" s="113"/>
    </row>
    <row r="9" spans="1:13" x14ac:dyDescent="0.35">
      <c r="G9" s="103"/>
      <c r="H9" s="110" t="s">
        <v>80</v>
      </c>
      <c r="I9" s="110"/>
      <c r="J9" s="110"/>
      <c r="K9" s="110"/>
      <c r="L9" s="119">
        <f>L8/(C1-1)</f>
        <v>3915.3564495347159</v>
      </c>
      <c r="M9" s="113"/>
    </row>
    <row r="10" spans="1:13" x14ac:dyDescent="0.35">
      <c r="G10" s="114"/>
      <c r="H10" s="120"/>
      <c r="I10" s="120"/>
      <c r="J10" s="120"/>
      <c r="K10" s="120"/>
      <c r="L10" s="121"/>
      <c r="M10" s="113"/>
    </row>
    <row r="11" spans="1:13" x14ac:dyDescent="0.35">
      <c r="G11" s="114"/>
      <c r="H11" s="114"/>
      <c r="I11" s="122" t="s">
        <v>83</v>
      </c>
      <c r="J11" s="114"/>
      <c r="K11" s="114"/>
      <c r="L11" s="114"/>
      <c r="M11" s="114"/>
    </row>
    <row r="12" spans="1:13" x14ac:dyDescent="0.35">
      <c r="C12" s="91"/>
      <c r="D12" s="91"/>
      <c r="E12" s="91"/>
      <c r="F12" s="91"/>
      <c r="G12" s="114"/>
      <c r="H12" s="103"/>
      <c r="I12" s="103" t="s">
        <v>84</v>
      </c>
      <c r="J12" s="103" t="s">
        <v>85</v>
      </c>
      <c r="K12" s="103" t="s">
        <v>86</v>
      </c>
      <c r="L12" s="103" t="s">
        <v>87</v>
      </c>
      <c r="M12" s="103" t="s">
        <v>88</v>
      </c>
    </row>
    <row r="13" spans="1:13" x14ac:dyDescent="0.35">
      <c r="C13" s="91"/>
      <c r="D13" s="91"/>
      <c r="E13" s="91"/>
      <c r="F13" s="91"/>
      <c r="G13" s="91"/>
      <c r="H13" s="103" t="s">
        <v>89</v>
      </c>
      <c r="I13" s="103">
        <f>C1-1</f>
        <v>2</v>
      </c>
      <c r="J13" s="119">
        <f>L8</f>
        <v>7830.7128990694318</v>
      </c>
      <c r="K13" s="119">
        <f>J13/I13</f>
        <v>3915.3564495347159</v>
      </c>
      <c r="L13" s="119">
        <f>K13/K14</f>
        <v>82.352839864981419</v>
      </c>
      <c r="M13" s="123">
        <f>_xlfn.F.DIST.RT(L13,I13,I14)</f>
        <v>0</v>
      </c>
    </row>
    <row r="14" spans="1:13" x14ac:dyDescent="0.35">
      <c r="C14" s="91"/>
      <c r="D14" s="91"/>
      <c r="E14" s="91"/>
      <c r="F14" s="91"/>
      <c r="G14" s="91"/>
      <c r="H14" s="103" t="s">
        <v>90</v>
      </c>
      <c r="I14" s="103">
        <f>I15-I13</f>
        <v>2791</v>
      </c>
      <c r="J14" s="119">
        <f>L6</f>
        <v>132694.39000000001</v>
      </c>
      <c r="K14" s="119">
        <f>J14/I14</f>
        <v>47.543672518810467</v>
      </c>
      <c r="L14" s="103"/>
      <c r="M14" s="114"/>
    </row>
    <row r="15" spans="1:13" x14ac:dyDescent="0.35">
      <c r="C15" s="91"/>
      <c r="D15" s="91"/>
      <c r="E15" s="91"/>
      <c r="F15" s="91"/>
      <c r="G15" s="91"/>
      <c r="H15" s="103" t="s">
        <v>12</v>
      </c>
      <c r="I15" s="103">
        <f>E4-1</f>
        <v>2793</v>
      </c>
      <c r="J15" s="119">
        <f>J13+J14</f>
        <v>140525.10289906943</v>
      </c>
      <c r="K15" s="103"/>
      <c r="L15" s="103"/>
      <c r="M15" s="1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6</vt:i4>
      </vt:variant>
    </vt:vector>
  </HeadingPairs>
  <TitlesOfParts>
    <vt:vector size="6" baseType="lpstr">
      <vt:lpstr>Test Diagnostico</vt:lpstr>
      <vt:lpstr>Media Distrib.Freq.</vt:lpstr>
      <vt:lpstr>chi-quadrato</vt:lpstr>
      <vt:lpstr>Media IgE per Ca</vt:lpstr>
      <vt:lpstr>regressione</vt:lpstr>
      <vt:lpstr>ANOVA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</dc:creator>
  <cp:lastModifiedBy>Giuseppe</cp:lastModifiedBy>
  <dcterms:created xsi:type="dcterms:W3CDTF">2022-01-12T22:59:49Z</dcterms:created>
  <dcterms:modified xsi:type="dcterms:W3CDTF">2022-01-16T16:00:38Z</dcterms:modified>
</cp:coreProperties>
</file>