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 sources" sheetId="1" r:id="rId1"/>
    <sheet name="3 sources" sheetId="2" r:id="rId2"/>
  </sheets>
  <definedNames/>
  <calcPr fullCalcOnLoad="1"/>
</workbook>
</file>

<file path=xl/sharedStrings.xml><?xml version="1.0" encoding="utf-8"?>
<sst xmlns="http://schemas.openxmlformats.org/spreadsheetml/2006/main" count="69" uniqueCount="47">
  <si>
    <t>n1</t>
  </si>
  <si>
    <t>n2</t>
  </si>
  <si>
    <t>m</t>
  </si>
  <si>
    <t>n'</t>
  </si>
  <si>
    <t>total</t>
  </si>
  <si>
    <t>FP+drug</t>
  </si>
  <si>
    <t>Var n'</t>
  </si>
  <si>
    <t>Lower Limit</t>
  </si>
  <si>
    <t>Upper Limit</t>
  </si>
  <si>
    <t>Percentage of</t>
  </si>
  <si>
    <t>ascertainment</t>
  </si>
  <si>
    <t>I source</t>
  </si>
  <si>
    <t>II source</t>
  </si>
  <si>
    <t>COMPUTATIONS</t>
  </si>
  <si>
    <t>CASES IDENTIFIED</t>
  </si>
  <si>
    <t>both</t>
  </si>
  <si>
    <t>I+II</t>
  </si>
  <si>
    <t>Population</t>
  </si>
  <si>
    <t>size</t>
  </si>
  <si>
    <t>Confidence Interval</t>
  </si>
  <si>
    <t>III source</t>
  </si>
  <si>
    <t>n3</t>
  </si>
  <si>
    <t>all</t>
  </si>
  <si>
    <t>n</t>
  </si>
  <si>
    <t>Sn = n1+n2+n3 =</t>
  </si>
  <si>
    <t>a = n-n1-n2-n3 =</t>
  </si>
  <si>
    <t>b = n1*n2 + n1*n3 + n2*n3 =</t>
  </si>
  <si>
    <t>c = - n1*n2*n3 =</t>
  </si>
  <si>
    <t>determinante = b^2 - 4ac =</t>
  </si>
  <si>
    <t>n' = (-b-radq(determ)) / 2a =</t>
  </si>
  <si>
    <t>n' = (-b+radq(determ)) / 2a =</t>
  </si>
  <si>
    <t>Three sources</t>
  </si>
  <si>
    <t>RESULTS</t>
  </si>
  <si>
    <t>var n' =</t>
  </si>
  <si>
    <t>SE n' =</t>
  </si>
  <si>
    <t>95% Confidence Interval</t>
  </si>
  <si>
    <t>Two sources</t>
  </si>
  <si>
    <t>tot</t>
  </si>
  <si>
    <t>%accert</t>
  </si>
  <si>
    <t>LCI</t>
  </si>
  <si>
    <t>UCI</t>
  </si>
  <si>
    <t>var n'</t>
  </si>
  <si>
    <t>FP+DC</t>
  </si>
  <si>
    <t>DC+drug</t>
  </si>
  <si>
    <t>FPdrug+DC</t>
  </si>
  <si>
    <t>FPDC+drug</t>
  </si>
  <si>
    <t>Dcdrug+FP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</si>
</sst>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</numFmts>
  <fonts count="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70" fontId="3" fillId="3" borderId="0" xfId="0" applyNumberFormat="1" applyFont="1" applyFill="1" applyAlignment="1">
      <alignment horizontal="center"/>
    </xf>
    <xf numFmtId="170" fontId="3" fillId="0" borderId="0" xfId="0" applyNumberFormat="1" applyFont="1" applyFill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171" fontId="1" fillId="3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0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75" zoomScaleNormal="75" workbookViewId="0" topLeftCell="A1">
      <selection activeCell="I6" sqref="I6:I8"/>
    </sheetView>
  </sheetViews>
  <sheetFormatPr defaultColWidth="9.140625" defaultRowHeight="12.75"/>
  <cols>
    <col min="1" max="1" width="14.7109375" style="0" customWidth="1"/>
    <col min="2" max="5" width="10.7109375" style="0" customWidth="1"/>
    <col min="6" max="8" width="14.7109375" style="0" customWidth="1"/>
    <col min="9" max="9" width="12.7109375" style="0" customWidth="1"/>
  </cols>
  <sheetData>
    <row r="1" ht="23.25">
      <c r="E1" s="40" t="s">
        <v>36</v>
      </c>
    </row>
    <row r="3" spans="1:9" ht="18">
      <c r="A3" s="2"/>
      <c r="B3" s="8"/>
      <c r="C3" s="10" t="s">
        <v>14</v>
      </c>
      <c r="D3" s="10"/>
      <c r="E3" s="35"/>
      <c r="F3" s="7" t="s">
        <v>17</v>
      </c>
      <c r="G3" s="2"/>
      <c r="H3" s="2"/>
      <c r="I3" s="2"/>
    </row>
    <row r="4" spans="1:9" ht="18">
      <c r="A4" s="2"/>
      <c r="B4" s="12" t="s">
        <v>11</v>
      </c>
      <c r="C4" s="13" t="s">
        <v>12</v>
      </c>
      <c r="D4" s="13" t="s">
        <v>15</v>
      </c>
      <c r="E4" s="11" t="s">
        <v>16</v>
      </c>
      <c r="F4" s="7" t="s">
        <v>18</v>
      </c>
      <c r="G4" s="24" t="s">
        <v>19</v>
      </c>
      <c r="H4" s="25"/>
      <c r="I4" s="36" t="s">
        <v>9</v>
      </c>
    </row>
    <row r="5" spans="1:9" ht="18">
      <c r="A5" s="7"/>
      <c r="B5" s="14" t="s">
        <v>0</v>
      </c>
      <c r="C5" s="15" t="s">
        <v>1</v>
      </c>
      <c r="D5" s="15" t="s">
        <v>2</v>
      </c>
      <c r="E5" s="16" t="s">
        <v>4</v>
      </c>
      <c r="F5" s="7" t="s">
        <v>3</v>
      </c>
      <c r="G5" s="3" t="s">
        <v>7</v>
      </c>
      <c r="H5" s="3" t="s">
        <v>8</v>
      </c>
      <c r="I5" s="6" t="s">
        <v>10</v>
      </c>
    </row>
    <row r="6" spans="1:9" ht="18">
      <c r="A6" s="7" t="s">
        <v>5</v>
      </c>
      <c r="B6" s="37">
        <f>545+727+686+1620</f>
        <v>3578</v>
      </c>
      <c r="C6" s="38">
        <f>314+936+686+1620</f>
        <v>3556</v>
      </c>
      <c r="D6" s="38">
        <f>686+1620</f>
        <v>2306</v>
      </c>
      <c r="E6" s="11">
        <f>B6+C6-D6</f>
        <v>4828</v>
      </c>
      <c r="F6" s="44">
        <f>((B6+1)*(C6+1)/(D6+1))-1</f>
        <v>5517.206762028609</v>
      </c>
      <c r="G6" s="44">
        <f>F6-1.96*SQRT(G12)</f>
        <v>5437.643621277988</v>
      </c>
      <c r="H6" s="44">
        <f>F6+1.96*SQRT(G12)</f>
        <v>5596.76990277923</v>
      </c>
      <c r="I6" s="47">
        <f>E6/F6</f>
        <v>0.8750804905895541</v>
      </c>
    </row>
    <row r="7" spans="1:9" ht="18">
      <c r="A7" s="7" t="s">
        <v>42</v>
      </c>
      <c r="B7" s="37">
        <f>545+727+686+1620</f>
        <v>3578</v>
      </c>
      <c r="C7" s="38">
        <f>2320+727+686+314</f>
        <v>4047</v>
      </c>
      <c r="D7" s="38">
        <f>727+686</f>
        <v>1413</v>
      </c>
      <c r="E7" s="11">
        <f>B7+C7-D7</f>
        <v>6212</v>
      </c>
      <c r="F7" s="44">
        <f>((B7+1)*(C7+1)/(D7+1))-1</f>
        <v>10244.963224893918</v>
      </c>
      <c r="G7" s="44">
        <f>F7-1.96*SQRT(G13)</f>
        <v>9910.023716358563</v>
      </c>
      <c r="H7" s="44">
        <f>F7+1.96*SQRT(G13)</f>
        <v>10579.902733429273</v>
      </c>
      <c r="I7" s="47">
        <f>E7/F7</f>
        <v>0.6063467348428986</v>
      </c>
    </row>
    <row r="8" spans="1:9" ht="18">
      <c r="A8" s="7" t="s">
        <v>43</v>
      </c>
      <c r="B8" s="37">
        <f>2320+727+686+314</f>
        <v>4047</v>
      </c>
      <c r="C8" s="38">
        <f>314+936+686+1620</f>
        <v>3556</v>
      </c>
      <c r="D8" s="38">
        <f>686+314</f>
        <v>1000</v>
      </c>
      <c r="E8" s="11">
        <f>B8+C8-D8</f>
        <v>6603</v>
      </c>
      <c r="F8" s="44">
        <f>((B8+1)*(C8+1)/(D8+1))-1</f>
        <v>14383.351648351649</v>
      </c>
      <c r="G8" s="44">
        <f>F8-1.96*SQRT(G14)</f>
        <v>13728.3129326668</v>
      </c>
      <c r="H8" s="44">
        <f>F8+1.96*SQRT(G14)</f>
        <v>15038.390364036497</v>
      </c>
      <c r="I8" s="47">
        <f>E8/F8</f>
        <v>0.45907241659886083</v>
      </c>
    </row>
    <row r="9" spans="1:9" ht="18">
      <c r="A9" s="2"/>
      <c r="B9" s="2"/>
      <c r="C9" s="2"/>
      <c r="D9" s="2"/>
      <c r="E9" s="2"/>
      <c r="F9" s="2"/>
      <c r="G9" s="2"/>
      <c r="H9" s="2"/>
      <c r="I9" s="2"/>
    </row>
    <row r="10" spans="1:9" ht="18">
      <c r="A10" s="2"/>
      <c r="B10" s="2"/>
      <c r="C10" s="2"/>
      <c r="D10" s="2"/>
      <c r="F10" s="2"/>
      <c r="G10" s="39" t="s">
        <v>13</v>
      </c>
      <c r="H10" s="2"/>
      <c r="I10" s="2"/>
    </row>
    <row r="11" spans="1:9" ht="18">
      <c r="A11" s="2"/>
      <c r="B11" s="2"/>
      <c r="C11" s="2"/>
      <c r="D11" s="2"/>
      <c r="E11" s="2"/>
      <c r="F11" s="2"/>
      <c r="G11" s="7" t="s">
        <v>6</v>
      </c>
      <c r="H11" s="2"/>
      <c r="I11" s="2"/>
    </row>
    <row r="12" spans="1:9" ht="18">
      <c r="A12" s="2"/>
      <c r="B12" s="2"/>
      <c r="C12" s="2"/>
      <c r="D12" s="2"/>
      <c r="E12" s="2"/>
      <c r="F12" s="2"/>
      <c r="G12" s="45">
        <f>(B6+1)*(C6+1)*(B6-D6)*(C6-D6)/((D6+1)^2*(D6+2))</f>
        <v>1647.8273027132193</v>
      </c>
      <c r="H12" s="2"/>
      <c r="I12" s="2"/>
    </row>
    <row r="13" spans="1:9" ht="18">
      <c r="A13" s="2"/>
      <c r="B13" s="2"/>
      <c r="C13" s="2"/>
      <c r="D13" s="2"/>
      <c r="E13" s="2"/>
      <c r="F13" s="2"/>
      <c r="G13" s="45">
        <f>(B7+1)*(C7+1)*(B7-D7)*(C7-D7)/((D7+1)^2*(D7+2))</f>
        <v>29202.53914460259</v>
      </c>
      <c r="H13" s="2"/>
      <c r="I13" s="2"/>
    </row>
    <row r="14" spans="1:9" ht="18">
      <c r="A14" s="2"/>
      <c r="B14" s="2"/>
      <c r="C14" s="2"/>
      <c r="D14" s="2"/>
      <c r="E14" s="2"/>
      <c r="F14" s="2"/>
      <c r="G14" s="45">
        <f>(B8+1)*(C8+1)*(B8-D8)*(C8-D8)/((D8+1)^2*(D8+2))</f>
        <v>111691.93019732783</v>
      </c>
      <c r="H14" s="2"/>
      <c r="I14" s="2"/>
    </row>
    <row r="17" spans="1:9" ht="18">
      <c r="A17" s="41"/>
      <c r="B17" s="42" t="s">
        <v>0</v>
      </c>
      <c r="C17" s="42" t="s">
        <v>1</v>
      </c>
      <c r="D17" s="42" t="s">
        <v>2</v>
      </c>
      <c r="E17" s="42" t="s">
        <v>37</v>
      </c>
      <c r="F17" s="42" t="s">
        <v>3</v>
      </c>
      <c r="G17" s="42" t="s">
        <v>39</v>
      </c>
      <c r="H17" s="42" t="s">
        <v>40</v>
      </c>
      <c r="I17" s="42" t="s">
        <v>38</v>
      </c>
    </row>
    <row r="18" spans="1:9" ht="18">
      <c r="A18" s="41" t="s">
        <v>44</v>
      </c>
      <c r="B18" s="42">
        <v>4828</v>
      </c>
      <c r="C18" s="42">
        <v>4047</v>
      </c>
      <c r="D18" s="42">
        <f>727+686+314</f>
        <v>1727</v>
      </c>
      <c r="E18" s="42">
        <f>B18+C18-D18</f>
        <v>7148</v>
      </c>
      <c r="F18" s="46">
        <f>(B18+1)*(C18+1)/(D18+1)-1</f>
        <v>11311.37962962963</v>
      </c>
      <c r="G18" s="46">
        <f>F18-1.96*SQRT(G23)</f>
        <v>10987.89133772494</v>
      </c>
      <c r="H18" s="46">
        <f>F18+1.96*SQRT(G23)</f>
        <v>11634.86792153432</v>
      </c>
      <c r="I18" s="43">
        <f>E18/F18</f>
        <v>0.6319299885644496</v>
      </c>
    </row>
    <row r="19" spans="1:9" ht="18">
      <c r="A19" s="41" t="s">
        <v>45</v>
      </c>
      <c r="B19" s="42">
        <v>6212</v>
      </c>
      <c r="C19" s="42">
        <v>3556</v>
      </c>
      <c r="D19" s="42">
        <f>314+686+1620</f>
        <v>2620</v>
      </c>
      <c r="E19" s="42">
        <f>B19+C19-D19</f>
        <v>7148</v>
      </c>
      <c r="F19" s="46">
        <f>(B19+1)*(C19+1)/(D19+1)-1</f>
        <v>8430.759252193819</v>
      </c>
      <c r="G19" s="46">
        <f>F19-1.96*SQRT(G24)</f>
        <v>8304.874999956412</v>
      </c>
      <c r="H19" s="46">
        <f>F19+1.96*SQRT(G24)</f>
        <v>8556.643504431226</v>
      </c>
      <c r="I19" s="43">
        <f>E19/F19</f>
        <v>0.8478477188326752</v>
      </c>
    </row>
    <row r="20" spans="1:9" ht="18">
      <c r="A20" s="41" t="s">
        <v>46</v>
      </c>
      <c r="B20" s="42">
        <v>6603</v>
      </c>
      <c r="C20" s="42">
        <v>3578</v>
      </c>
      <c r="D20" s="42">
        <f>727+686+1620</f>
        <v>3033</v>
      </c>
      <c r="E20" s="42">
        <f>B20+C20-D20</f>
        <v>7148</v>
      </c>
      <c r="F20" s="46">
        <f>(B20+1)*(C20+1)/(D20+1)-1</f>
        <v>7789.282135794331</v>
      </c>
      <c r="G20" s="46">
        <f>F20-1.96*SQRT(G25)</f>
        <v>7709.761858121114</v>
      </c>
      <c r="H20" s="46">
        <f>F20+1.96*SQRT(G25)</f>
        <v>7868.802413467549</v>
      </c>
      <c r="I20" s="43">
        <f>E20/F20</f>
        <v>0.9176712148032965</v>
      </c>
    </row>
    <row r="21" spans="2:9" ht="18">
      <c r="B21" s="42"/>
      <c r="C21" s="42"/>
      <c r="D21" s="42"/>
      <c r="E21" s="42"/>
      <c r="F21" s="46"/>
      <c r="G21" s="46"/>
      <c r="H21" s="46"/>
      <c r="I21" s="42"/>
    </row>
    <row r="22" spans="2:9" ht="18">
      <c r="B22" s="42"/>
      <c r="C22" s="42"/>
      <c r="D22" s="42"/>
      <c r="E22" s="42"/>
      <c r="F22" s="46"/>
      <c r="G22" s="46" t="s">
        <v>41</v>
      </c>
      <c r="H22" s="46"/>
      <c r="I22" s="42"/>
    </row>
    <row r="23" spans="2:9" ht="18">
      <c r="B23" s="42"/>
      <c r="C23" s="42"/>
      <c r="D23" s="42"/>
      <c r="E23" s="42"/>
      <c r="F23" s="46"/>
      <c r="G23" s="46">
        <f>(B18+1)*(C18+1)*(B18-D18)*(C18-D18)/((D18+1)^2*(D18+2))</f>
        <v>27239.86750297118</v>
      </c>
      <c r="H23" s="46"/>
      <c r="I23" s="42"/>
    </row>
    <row r="24" spans="2:9" ht="18">
      <c r="B24" s="42"/>
      <c r="C24" s="42"/>
      <c r="D24" s="42"/>
      <c r="E24" s="42"/>
      <c r="F24" s="46"/>
      <c r="G24" s="46">
        <f>(B19+1)*(C19+1)*(B19-D19)*(C19-D19)/((D19+1)^2*(D19+2))</f>
        <v>4125.06376545479</v>
      </c>
      <c r="H24" s="46"/>
      <c r="I24" s="42"/>
    </row>
    <row r="25" spans="2:9" ht="18">
      <c r="B25" s="42"/>
      <c r="C25" s="42"/>
      <c r="D25" s="42"/>
      <c r="E25" s="42"/>
      <c r="F25" s="46"/>
      <c r="G25" s="46">
        <f>(B20+1)*(C20+1)*(B20-D20)*(C20-D20)/((D20+1)^2*(D20+2))</f>
        <v>1646.052311855885</v>
      </c>
      <c r="H25" s="46"/>
      <c r="I25" s="4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="75" zoomScaleNormal="75" workbookViewId="0" topLeftCell="A13">
      <selection activeCell="C19" sqref="C19"/>
    </sheetView>
  </sheetViews>
  <sheetFormatPr defaultColWidth="9.140625" defaultRowHeight="12.75"/>
  <cols>
    <col min="1" max="3" width="13.7109375" style="0" customWidth="1"/>
    <col min="4" max="4" width="16.00390625" style="1" customWidth="1"/>
    <col min="5" max="7" width="11.7109375" style="1" customWidth="1"/>
    <col min="8" max="9" width="11.7109375" style="0" customWidth="1"/>
  </cols>
  <sheetData>
    <row r="1" spans="1:9" ht="18">
      <c r="A1" s="2"/>
      <c r="B1" s="2"/>
      <c r="C1" s="5" t="s">
        <v>31</v>
      </c>
      <c r="D1" s="7"/>
      <c r="E1" s="7"/>
      <c r="F1" s="7"/>
      <c r="G1" s="7"/>
      <c r="H1" s="2"/>
      <c r="I1" s="2"/>
    </row>
    <row r="2" spans="1:9" ht="18">
      <c r="A2" s="2"/>
      <c r="B2" s="2"/>
      <c r="C2" s="2"/>
      <c r="D2" s="7"/>
      <c r="E2" s="7"/>
      <c r="F2" s="7"/>
      <c r="G2" s="7"/>
      <c r="H2" s="2"/>
      <c r="I2" s="2"/>
    </row>
    <row r="3" spans="1:9" ht="18">
      <c r="A3" s="8"/>
      <c r="C3" s="9" t="s">
        <v>14</v>
      </c>
      <c r="D3" s="11"/>
      <c r="E3" s="7"/>
      <c r="F3" s="7"/>
      <c r="G3" s="7"/>
      <c r="H3" s="2"/>
      <c r="I3" s="2"/>
    </row>
    <row r="4" spans="1:9" ht="18">
      <c r="A4" s="12" t="s">
        <v>11</v>
      </c>
      <c r="B4" s="13" t="s">
        <v>12</v>
      </c>
      <c r="C4" s="13" t="s">
        <v>20</v>
      </c>
      <c r="D4" s="11" t="s">
        <v>22</v>
      </c>
      <c r="E4" s="7"/>
      <c r="F4" s="7"/>
      <c r="G4" s="7"/>
      <c r="H4" s="2"/>
      <c r="I4" s="2"/>
    </row>
    <row r="5" spans="1:9" ht="18">
      <c r="A5" s="14" t="s">
        <v>0</v>
      </c>
      <c r="B5" s="15" t="s">
        <v>1</v>
      </c>
      <c r="C5" s="15" t="s">
        <v>21</v>
      </c>
      <c r="D5" s="16" t="s">
        <v>23</v>
      </c>
      <c r="E5" s="7"/>
      <c r="F5" s="7"/>
      <c r="G5" s="7"/>
      <c r="H5" s="2"/>
      <c r="I5" s="2"/>
    </row>
    <row r="6" spans="1:9" ht="18">
      <c r="A6" s="17">
        <f>545+727+686+1620</f>
        <v>3578</v>
      </c>
      <c r="B6" s="17">
        <f>2320+727+686+314</f>
        <v>4047</v>
      </c>
      <c r="C6" s="18">
        <f>314+936+686+1620</f>
        <v>3556</v>
      </c>
      <c r="D6" s="19">
        <v>7148</v>
      </c>
      <c r="E6" s="7"/>
      <c r="F6" s="7"/>
      <c r="G6" s="7"/>
      <c r="H6" s="2"/>
      <c r="I6" s="2"/>
    </row>
    <row r="7" spans="1:9" ht="18">
      <c r="A7" s="2"/>
      <c r="B7" s="2"/>
      <c r="C7" s="2"/>
      <c r="D7" s="7"/>
      <c r="E7" s="7"/>
      <c r="F7" s="7"/>
      <c r="G7" s="7"/>
      <c r="H7" s="2"/>
      <c r="I7" s="2"/>
    </row>
    <row r="8" spans="1:9" ht="18">
      <c r="A8" s="2"/>
      <c r="C8" s="20" t="s">
        <v>13</v>
      </c>
      <c r="D8" s="7"/>
      <c r="E8" s="7"/>
      <c r="F8" s="7"/>
      <c r="G8" s="7"/>
      <c r="H8" s="2"/>
      <c r="I8" s="2"/>
    </row>
    <row r="9" spans="1:9" ht="18">
      <c r="A9" s="21" t="s">
        <v>24</v>
      </c>
      <c r="B9" s="21"/>
      <c r="C9" s="21"/>
      <c r="D9" s="22">
        <f>A6+B6+C6</f>
        <v>11181</v>
      </c>
      <c r="E9" s="7"/>
      <c r="F9" s="7"/>
      <c r="G9" s="7"/>
      <c r="H9" s="2"/>
      <c r="I9" s="2"/>
    </row>
    <row r="10" spans="1:9" ht="18">
      <c r="A10" s="21" t="s">
        <v>25</v>
      </c>
      <c r="B10" s="21"/>
      <c r="C10" s="21"/>
      <c r="D10" s="22">
        <f>D6-A6-B6-C6</f>
        <v>-4033</v>
      </c>
      <c r="E10" s="7"/>
      <c r="F10" s="7"/>
      <c r="G10" s="7"/>
      <c r="H10" s="2"/>
      <c r="I10" s="2"/>
    </row>
    <row r="11" spans="1:9" ht="18">
      <c r="A11" s="21" t="s">
        <v>26</v>
      </c>
      <c r="B11" s="21"/>
      <c r="C11" s="21"/>
      <c r="D11" s="22">
        <f>A6*B6+A6*C6+B6*C6</f>
        <v>41594666</v>
      </c>
      <c r="E11" s="7"/>
      <c r="F11" s="7"/>
      <c r="G11" s="7"/>
      <c r="H11" s="2"/>
      <c r="I11" s="2"/>
    </row>
    <row r="12" spans="1:9" ht="18">
      <c r="A12" s="21" t="s">
        <v>27</v>
      </c>
      <c r="B12" s="21"/>
      <c r="C12" s="21"/>
      <c r="D12" s="34">
        <f>-A6*B6*C6</f>
        <v>-51491470296</v>
      </c>
      <c r="E12" s="7"/>
      <c r="F12" s="7"/>
      <c r="G12" s="7"/>
      <c r="H12" s="2"/>
      <c r="I12" s="2"/>
    </row>
    <row r="13" spans="1:9" ht="18">
      <c r="A13" s="2" t="s">
        <v>28</v>
      </c>
      <c r="B13" s="2"/>
      <c r="C13" s="2"/>
      <c r="D13" s="34">
        <f>D11*D11-4*D10*D12</f>
        <v>899455840836484</v>
      </c>
      <c r="E13" s="7"/>
      <c r="F13" s="7"/>
      <c r="G13" s="7"/>
      <c r="H13" s="2"/>
      <c r="I13" s="2"/>
    </row>
    <row r="14" spans="1:9" ht="18">
      <c r="A14" s="2"/>
      <c r="B14" s="2"/>
      <c r="C14" s="2"/>
      <c r="D14" s="7"/>
      <c r="E14" s="7"/>
      <c r="F14" s="7"/>
      <c r="G14" s="7"/>
      <c r="H14" s="2"/>
      <c r="I14" s="2"/>
    </row>
    <row r="15" spans="1:9" ht="18">
      <c r="A15" s="2" t="s">
        <v>30</v>
      </c>
      <c r="B15" s="2"/>
      <c r="C15" s="2"/>
      <c r="D15" s="22">
        <f>(-D11+SQRT(D13))/(2*D10)</f>
        <v>1438.598647493482</v>
      </c>
      <c r="E15" s="7"/>
      <c r="F15" s="7" t="s">
        <v>33</v>
      </c>
      <c r="G15" s="4">
        <f>A23/(1/(1-D6/A23)+2-1/(1-A6/A23)-1/(1-B6/A23)-1/(1-C6/A23))</f>
        <v>4535.575890703199</v>
      </c>
      <c r="H15" s="2"/>
      <c r="I15" s="2"/>
    </row>
    <row r="16" spans="1:9" ht="18">
      <c r="A16" s="2" t="s">
        <v>29</v>
      </c>
      <c r="B16" s="2"/>
      <c r="C16" s="2"/>
      <c r="D16" s="22">
        <f>(-D11-SQRT(D13))/(2*D10)</f>
        <v>8874.980821884152</v>
      </c>
      <c r="E16" s="7"/>
      <c r="F16" s="7" t="s">
        <v>34</v>
      </c>
      <c r="G16" s="23">
        <f>SQRT(G15)</f>
        <v>67.34668433340426</v>
      </c>
      <c r="H16" s="2"/>
      <c r="I16" s="2"/>
    </row>
    <row r="17" spans="1:9" ht="18">
      <c r="A17" s="2" t="s">
        <v>33</v>
      </c>
      <c r="B17" s="2"/>
      <c r="C17" s="2"/>
      <c r="D17" s="22">
        <f>A23/(1/(1-D6/A23)+2-1/(1-A6/A23)-1/(1-B6/A23)-1/(1-C6/A23))</f>
        <v>4535.575890703199</v>
      </c>
      <c r="E17" s="7"/>
      <c r="F17" s="7"/>
      <c r="G17" s="7"/>
      <c r="H17" s="2"/>
      <c r="I17" s="2"/>
    </row>
    <row r="18" spans="1:9" ht="18">
      <c r="A18" s="2"/>
      <c r="B18" s="2"/>
      <c r="C18" s="2"/>
      <c r="D18" s="22"/>
      <c r="E18" s="7"/>
      <c r="F18" s="7"/>
      <c r="G18" s="7"/>
      <c r="H18" s="2"/>
      <c r="I18" s="2"/>
    </row>
    <row r="19" spans="1:9" ht="18">
      <c r="A19" s="2"/>
      <c r="B19" s="2"/>
      <c r="C19" s="5" t="s">
        <v>32</v>
      </c>
      <c r="E19" s="7"/>
      <c r="F19" s="7"/>
      <c r="G19" s="7"/>
      <c r="H19" s="2"/>
      <c r="I19" s="2"/>
    </row>
    <row r="20" spans="1:9" ht="18">
      <c r="A20" s="7" t="s">
        <v>17</v>
      </c>
      <c r="B20" s="2"/>
      <c r="C20" s="2"/>
      <c r="D20" s="2"/>
      <c r="E20" s="7"/>
      <c r="F20" s="7"/>
      <c r="G20" s="7"/>
      <c r="H20" s="2"/>
      <c r="I20" s="2"/>
    </row>
    <row r="21" spans="1:9" ht="18">
      <c r="A21" s="7" t="s">
        <v>18</v>
      </c>
      <c r="B21" s="24" t="s">
        <v>35</v>
      </c>
      <c r="C21" s="25"/>
      <c r="D21" s="26"/>
      <c r="E21" s="15"/>
      <c r="F21" s="27" t="s">
        <v>9</v>
      </c>
      <c r="G21" s="28" t="s">
        <v>10</v>
      </c>
      <c r="H21" s="15"/>
      <c r="I21" s="2"/>
    </row>
    <row r="22" spans="1:9" ht="18">
      <c r="A22" s="7" t="s">
        <v>3</v>
      </c>
      <c r="B22" s="7" t="s">
        <v>7</v>
      </c>
      <c r="C22" s="7" t="s">
        <v>8</v>
      </c>
      <c r="D22" s="29"/>
      <c r="E22" s="7" t="s">
        <v>11</v>
      </c>
      <c r="F22" s="7" t="s">
        <v>12</v>
      </c>
      <c r="G22" s="7" t="s">
        <v>20</v>
      </c>
      <c r="H22" s="7" t="s">
        <v>4</v>
      </c>
      <c r="I22" s="2"/>
    </row>
    <row r="23" spans="1:9" ht="18">
      <c r="A23" s="30">
        <f>IF(D15&gt;=D6,D15,IF(D16&gt;=D6,D16))</f>
        <v>8874.980821884152</v>
      </c>
      <c r="B23" s="31">
        <f>A23-1.96*G16</f>
        <v>8742.98132059068</v>
      </c>
      <c r="C23" s="31">
        <f>A23+1.96*G16</f>
        <v>9006.980323177624</v>
      </c>
      <c r="D23" s="32"/>
      <c r="E23" s="33">
        <f>100*A6/A23</f>
        <v>40.3155800762665</v>
      </c>
      <c r="F23" s="33">
        <f>100*B6/A23</f>
        <v>45.60009853791239</v>
      </c>
      <c r="G23" s="33">
        <f>100*C6/A23</f>
        <v>40.06769221665838</v>
      </c>
      <c r="H23" s="33">
        <f>100*D6/A23</f>
        <v>80.5410191126755</v>
      </c>
      <c r="I23" s="2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Verlato</dc:creator>
  <cp:keywords/>
  <dc:description/>
  <cp:lastModifiedBy>Sez. Statistica</cp:lastModifiedBy>
  <cp:lastPrinted>2003-09-03T12:37:57Z</cp:lastPrinted>
  <dcterms:created xsi:type="dcterms:W3CDTF">2003-08-31T22:29:28Z</dcterms:created>
  <dcterms:modified xsi:type="dcterms:W3CDTF">2006-07-06T08:05:46Z</dcterms:modified>
  <cp:category/>
  <cp:version/>
  <cp:contentType/>
  <cp:contentStatus/>
</cp:coreProperties>
</file>